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01" activeTab="0"/>
  </bookViews>
  <sheets>
    <sheet name="Доходи заг" sheetId="1" r:id="rId1"/>
    <sheet name="Видатки заг" sheetId="2" r:id="rId2"/>
    <sheet name="кредитование" sheetId="3" r:id="rId3"/>
    <sheet name="кас зф" sheetId="4" r:id="rId4"/>
    <sheet name="Дох спец" sheetId="5" r:id="rId5"/>
    <sheet name="Видатки спец" sheetId="6" r:id="rId6"/>
    <sheet name="кас сф" sheetId="7" r:id="rId7"/>
  </sheets>
  <externalReferences>
    <externalReference r:id="rId10"/>
    <externalReference r:id="rId11"/>
    <externalReference r:id="rId12"/>
  </externalReferences>
  <definedNames>
    <definedName name="_xlnm.Print_Titles" localSheetId="1">'Видатки заг'!$5:$8</definedName>
    <definedName name="_xlnm.Print_Titles" localSheetId="0">'Доходи заг'!$5:$7</definedName>
    <definedName name="_xlnm.Print_Titles" localSheetId="3">'кас зф'!$106:$106</definedName>
    <definedName name="_xlnm.Print_Titles" localSheetId="6">'кас сф'!$3:$4</definedName>
    <definedName name="_xlnm.Print_Area" localSheetId="1">'Видатки заг'!$A$1:$V$95</definedName>
    <definedName name="_xlnm.Print_Area" localSheetId="5">'Видатки спец'!$A$1:$H$56</definedName>
    <definedName name="_xlnm.Print_Area" localSheetId="4">'Дох спец'!$A$1:$H$49</definedName>
    <definedName name="_xlnm.Print_Area" localSheetId="0">'Доходи заг'!$A$1:$G$118</definedName>
    <definedName name="_xlnm.Print_Area" localSheetId="3">'кас зф'!$A$1:$E$166</definedName>
    <definedName name="_xlnm.Print_Area" localSheetId="6">'кас сф'!$A$1:$F$121</definedName>
    <definedName name="_xlnm.Print_Area" localSheetId="2">'кредитование'!$A$1:$G$31</definedName>
  </definedNames>
  <calcPr fullCalcOnLoad="1"/>
</workbook>
</file>

<file path=xl/sharedStrings.xml><?xml version="1.0" encoding="utf-8"?>
<sst xmlns="http://schemas.openxmlformats.org/spreadsheetml/2006/main" count="735" uniqueCount="358">
  <si>
    <t xml:space="preserve">Частина чистого прибутку (доходу) комунальних унітарних підприємств та їх об'єднань, що вилучається до бюджету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</si>
  <si>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 -, водопостачання і водовідведення, квартирної плати, вивезення побутового сміття та рідких нечистот (для бюджетів міст і районів)                                 </t>
  </si>
  <si>
    <t>Виконано</t>
  </si>
  <si>
    <t xml:space="preserve"> </t>
  </si>
  <si>
    <t>Видатки - всього</t>
  </si>
  <si>
    <t>ДОХОДИ</t>
  </si>
  <si>
    <t>Інші надходження</t>
  </si>
  <si>
    <t>Спеціальний фонд</t>
  </si>
  <si>
    <t>Власні надходження бюджетних установ і організацій</t>
  </si>
  <si>
    <t>Х</t>
  </si>
  <si>
    <t>х</t>
  </si>
  <si>
    <t>Збір за забруднення навколишнього природного середовища</t>
  </si>
  <si>
    <t>Профінансовано</t>
  </si>
  <si>
    <t>Бюджет розвитку, в т.ч.:</t>
  </si>
  <si>
    <t>Видатки спеціального фонду, всього</t>
  </si>
  <si>
    <t xml:space="preserve"> - надходження коштів від відчуження майна</t>
  </si>
  <si>
    <t>Видатки бюджетних установ (за рахунок власних надходжень)</t>
  </si>
  <si>
    <t xml:space="preserve">Відхилення </t>
  </si>
  <si>
    <t>%</t>
  </si>
  <si>
    <t>абсолютна сума</t>
  </si>
  <si>
    <t>Надходження від відшкодування втрат с/г і л/г виробництва</t>
  </si>
  <si>
    <t>Разом видатки загального фонду з урахуванням міжбюджетних розрахунків</t>
  </si>
  <si>
    <t>енергоносії</t>
  </si>
  <si>
    <t>Виконано (касові видатки)</t>
  </si>
  <si>
    <t>Відхилення (+,-)</t>
  </si>
  <si>
    <t>ВИДАТКИ</t>
  </si>
  <si>
    <t>Резервний фонд</t>
  </si>
  <si>
    <t>% виконання до плану</t>
  </si>
  <si>
    <t>заробітна плата</t>
  </si>
  <si>
    <t>Всього доходи загального фонду обласного бюджету</t>
  </si>
  <si>
    <t>Надходження від збору за проведення гастрольних заходів</t>
  </si>
  <si>
    <t>Всього доходи спеціального фонду обласного бюджету</t>
  </si>
  <si>
    <t>Доходи спеціального фонду, всього</t>
  </si>
  <si>
    <t>Головне фінансове управління (кошти, що передаються з загального фонду до бюджету розвитку спеціального фонду)</t>
  </si>
  <si>
    <t>Доходи загального фонду, всього</t>
  </si>
  <si>
    <t>виконання до плану</t>
  </si>
  <si>
    <t>фінансування до плану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</si>
  <si>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</si>
  <si>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для обласного бюджету</t>
  </si>
  <si>
    <t xml:space="preserve"> - для місцевих бюджетів</t>
  </si>
  <si>
    <t xml:space="preserve"> - дивіденди, нараховані на акції господарських товариств, що знаходяться в обласній комунальній власності</t>
  </si>
  <si>
    <t>Інша дотація</t>
  </si>
  <si>
    <t>Упр з питань молоді та спорту (стипендії)</t>
  </si>
  <si>
    <t>Разом видатки спеціального фонду</t>
  </si>
  <si>
    <t>Управління культури і туризму (централiзованi заходи)</t>
  </si>
  <si>
    <t>Інша субвенція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</si>
  <si>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</si>
  <si>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Упр.праці і соціального захисту населення (видатки, що здійснюються за рахунок субвенції з державного бюджету на програми соціального захисту населення), всього в т.ч.:</t>
  </si>
  <si>
    <t xml:space="preserve"> - пільги населенню на придбання скрап.газу та тверд.палива</t>
  </si>
  <si>
    <t xml:space="preserve"> - надходження із загального фонду обласного бюджету</t>
  </si>
  <si>
    <t>Субвенція із загального фонду державного бюджету на здійснення програм соціального захисту населення для місцевих бюджетів області</t>
  </si>
  <si>
    <t>Служба у справах дітей</t>
  </si>
  <si>
    <t>Найменування показників</t>
  </si>
  <si>
    <t xml:space="preserve"> Найменування головних розпорядників коштів та трансфертів з державного бюджету</t>
  </si>
  <si>
    <t xml:space="preserve"> Найменування показників</t>
  </si>
  <si>
    <t xml:space="preserve">Управління у справах сім'ї,  молоді та спорту </t>
  </si>
  <si>
    <t>Кредитування - всього</t>
  </si>
  <si>
    <t>Касові видатки</t>
  </si>
  <si>
    <t xml:space="preserve"> Загальний фонд</t>
  </si>
  <si>
    <t>Кредитування загального фонду, всього</t>
  </si>
  <si>
    <t xml:space="preserve"> Спеціальний фонд</t>
  </si>
  <si>
    <t>Кредитування спеціального фонду, всього</t>
  </si>
  <si>
    <t>Цільові фонди, утворені Верховною Радою Автономної Республіки Крим, органами місцевого самоврядування</t>
  </si>
  <si>
    <t>Управління культури і туризму (гастрольні заходи)</t>
  </si>
  <si>
    <t>Управління культури і туризму (цільовий фонд, утворений обласною радою для проведення реставраційно - ремонтних робіт обласного Палацу культури)</t>
  </si>
  <si>
    <t>Видатки</t>
  </si>
  <si>
    <t>Всього</t>
  </si>
  <si>
    <t xml:space="preserve">       інші</t>
  </si>
  <si>
    <t xml:space="preserve">Загальний фонд </t>
  </si>
  <si>
    <t xml:space="preserve"> - для міст і районів </t>
  </si>
  <si>
    <t>Субвенція з ДБУ місцевим бюджетам на придбання витратних матеріалів для родопомічних, дитячих, хірургічних, реанімаційних закладів, відділень невідкладної допомоги та лабораторій</t>
  </si>
  <si>
    <t xml:space="preserve">Субвенція з ДБУ місцевим бюджетам на соціально-економічний розвиток та на розвиток інфраструктури регіонів </t>
  </si>
  <si>
    <t>Відхилення          (+,-)</t>
  </si>
  <si>
    <t>Інші дотації</t>
  </si>
  <si>
    <t>Субвенція з ДБУ місцевим бюджетам на придбання вагонів для комунального електротранспорту (м. Херсон)</t>
  </si>
  <si>
    <t>за рахунок іншої субвенції (співфінансування)</t>
  </si>
  <si>
    <t xml:space="preserve"> - дивіденди, нарах.на акції  господарських товариств, що належать до комунальної власності  </t>
  </si>
  <si>
    <t>Субвенція з д/б м/б на придбання вагонів для ком.електротранспорту                 (м. Херсон)</t>
  </si>
  <si>
    <t>Субвенція з ДБУ місцевим бюджетам на заходи з енергозбереження, у т.ч.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</t>
  </si>
  <si>
    <t>Субвенція з ДБУ місцевим бюджетам на придбання шкільних автобусів для перевезення дітей, що проживають в сільській місцевості (обласний бюджет)</t>
  </si>
  <si>
    <t>Субвенція з ДБУ місцевим бюджетам на здійснення заходів по передачі житлового фонду та об'єктів соціально-культурної сфери Міноборони України у комунальну власність</t>
  </si>
  <si>
    <t xml:space="preserve"> - управління капітального будівництва (роботи з реконструкції систем водопостачання с.Зміївка Бериславського району)</t>
  </si>
  <si>
    <t>Видатки спеціального фонду</t>
  </si>
  <si>
    <t>X</t>
  </si>
  <si>
    <t>касові            видатки</t>
  </si>
  <si>
    <t xml:space="preserve"> Найменування головних розпорядників коштів</t>
  </si>
  <si>
    <t>Головне управління праці та соціального захисту населення (допомога по догляду за психічно хворими)</t>
  </si>
  <si>
    <t xml:space="preserve">Управління з питань НС та у справах захисту населення від наслідків Чорнобильської катастрофи </t>
  </si>
  <si>
    <t>Головне фінансове управління ("Інша субвенція" переможці конкурсу на кращу сільську (селищну) раду)</t>
  </si>
  <si>
    <t>Видатки за рахунок субвенції з д/б м/б на фінансування заходів із запобігання поширенню та лікування грипу типу А/Н1N1/Каліфорнія/04/09 і гострих респіраторних захворювань</t>
  </si>
  <si>
    <t>% виконання</t>
  </si>
  <si>
    <t>Видатки по обласному бюджету за рахунок субвенції з д/б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</si>
  <si>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Всього доходи спеціального призначення </t>
  </si>
  <si>
    <t xml:space="preserve">Всього видатки спеціального призначення </t>
  </si>
  <si>
    <t>(тис.грн)</t>
  </si>
  <si>
    <t>Разом видатків з урахуванням міжбюджетних трансфертів</t>
  </si>
  <si>
    <t>Податок з власників транспортних засобів та інших самохідних машин і механізмів</t>
  </si>
  <si>
    <t xml:space="preserve"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</si>
  <si>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 xml:space="preserve">Субвенція з державного бюджету місцевим бюджетам на надання пільг та житлових субсідій населенню на оплату електроенергії, природнього газу, послуг тепло -, водопостачання і водовідведення, квартирної плати, вивезення побутового сміття та рідких нечистот                                 </t>
  </si>
  <si>
    <t xml:space="preserve">Субвенція з державного бюджету місцевим бюджетам на фінансування ремонту приміщень управлінь праці та соціального захисту виконавчих органів місцевих рад для здійснення заходів з виконання спільного із Світовим банком проекту "Вдосконалення системи соціальної допомоги" </t>
  </si>
  <si>
    <t>Головне управління праці і соціального захисту населення (субвенція з державного бюджету місцевим бюджетам на фінансування ремонту приміщень управлінь праці та соціального захисту)</t>
  </si>
  <si>
    <t>зменшення залишку на суму повернення до державного бюджету залишків невикористаних коштів субвенції з державного бюджету, згідно ст. 57 Закону України "Про освіту", які помилково були зараховані на рахунок обласного бюджету станом на 01.01.2010</t>
  </si>
  <si>
    <t>Всього по головних розпорядниках коштів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</si>
  <si>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</si>
  <si>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Управління культури і туризму (цільовий фонд)</t>
  </si>
  <si>
    <t>Головне фінансове управління (субвенція з місцевого бюджету державному бюджету)</t>
  </si>
  <si>
    <t>Бюджет розвитку всього</t>
  </si>
  <si>
    <t xml:space="preserve">Планові показники на </t>
  </si>
  <si>
    <t>% фінансування до плану на</t>
  </si>
  <si>
    <t>І.О.Шепелєв</t>
  </si>
  <si>
    <t>Головне фінансове управління ("Інша субвенція" на відновлення видатків Високопільського району)</t>
  </si>
  <si>
    <t>Головне фінансове управління ("Інша субвенція" для надання допомоги потерпілим від стихійного лиха Чернівецької області)</t>
  </si>
  <si>
    <t>Головне фінансове управління ("Інша субвенція" на фінансування робіт із газифікації дитячого садка "Берізка" в cмт Верхній Рогачик)</t>
  </si>
  <si>
    <t>Головне фінансове управління ("Інша субвенція" на фінансування робіт з будівництва газопроводу до с. Садок Великоолександрівського району)</t>
  </si>
  <si>
    <t>Головне фінансове управління ("Інша субвенція" для перерахування коштів на проведення ремонтних робіт дитячого садка Станіславської сільської ради Білозерського району)</t>
  </si>
  <si>
    <t xml:space="preserve">Обласна рада (видатки за рахунок субвенції з державного бюджету на проведення виборів) </t>
  </si>
  <si>
    <t>Субвенція з державного бюджету місцевим бюджетам на здійснення заходів щодо соціально - економічного розвитку регіонів за напрямами, які закріплені за Міністерством регіонального розвитку та будівництва України</t>
  </si>
  <si>
    <t>- управління капітального будівництва  Херсонської обласної державної адміністрації інвестиційні проекти (за рахунок субвенції з державного бюджету для фінансування робіз з будівництва підвідного газопроводу до с. Червона Поляна, Магдалинівка і Кучерявоволодимирівка Чаплинського району)</t>
  </si>
  <si>
    <t>Обласна рада (видатки за рахунок субвенції з державного бюджету)</t>
  </si>
  <si>
    <t xml:space="preserve">(тис.грн)   </t>
  </si>
  <si>
    <t>Залишок коштів на 01.01.2010 року з урахуванням повернутих коштів субвенції до державного бюджету</t>
  </si>
  <si>
    <t xml:space="preserve">Субвенція з державного бюджету місцевим бюджетам на погашення кредиторської заборгованості, зареєстрованої органами Державного казначейства як фінансові зобов’язання станом на 1 січня 2010 р., за бюджетною програмою «Субвенція з державного бюджету місцевим бюджетам на фінансування у 2009 році програм – переможців Всеукраїнського конкурсу проектів та програм розвитку місцевого самоврядування 2008 року» </t>
  </si>
  <si>
    <t>Головне фінансове управління (Інша субвенція на придбання житла для педагогічних і медичних працівників у сільській місцевості)</t>
  </si>
  <si>
    <t>Головне фінансове управління (Інша субвенція Скадовський район будівництво газопроводцу до с.Михайлівка)</t>
  </si>
  <si>
    <t>Головне фінансове управління (Інша субвенція для проведення капітального ремонту будинку культури с. Долинське Чаплинського району)</t>
  </si>
  <si>
    <t>Головне фінансове управління (Інша субвенція на стимулювання переможців конкурсу на кращу сільську раду)</t>
  </si>
  <si>
    <t>Всього по головних розпорядникам коштів з урахуванням резервного фонду та трансфертів з державного бюджету</t>
  </si>
  <si>
    <t>Плата за ліцензії та сертифікати, що сплачується ліцензіатами за місцем здійснення діяльності</t>
  </si>
  <si>
    <t>Екологічний податок </t>
  </si>
  <si>
    <t xml:space="preserve">Субвенція з державного бюджету місцевим бюджетам на фінансування заходів із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</si>
  <si>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</si>
  <si>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 - служба у справах дітей</t>
  </si>
  <si>
    <t xml:space="preserve">% виконання </t>
  </si>
  <si>
    <t xml:space="preserve">% фінансування </t>
  </si>
  <si>
    <t>Всього видатки загального фонду</t>
  </si>
  <si>
    <t>Всього видатки спеціального фонду</t>
  </si>
  <si>
    <t>Залишок коштів на 01.01.2011 з урахуванням  коштів, переданих з державного бюджету</t>
  </si>
  <si>
    <t xml:space="preserve">Інші розрахунки (передача з державного бюджету обласному бюджету коштів на утримання установ: управління освіти і науки - 350,6 тис. грн та Головного управління праці та соціального захисту населення - 6,5 тис.грн) </t>
  </si>
  <si>
    <t>Профіцит, напрямом використання якого визначено передачу коштів із загального фонду до бюджету розвитку (спеціального фонду)</t>
  </si>
  <si>
    <t xml:space="preserve"> - за рахунок субвенції на соціально-економічний розвиток</t>
  </si>
  <si>
    <t>Всього видатки загального фонду з профіцитом</t>
  </si>
  <si>
    <t>Дефіцит, джерелом покриття якого визначено передачу коштів із загального фонду до бюджету розвитку спеціального фонду</t>
  </si>
  <si>
    <t>Усього доходи спеціального фонду з дефіцитом</t>
  </si>
  <si>
    <t>Доходи спеціального фонду з урахуванням дефіциту</t>
  </si>
  <si>
    <t>Директор</t>
  </si>
  <si>
    <t>Департаменту фінансів</t>
  </si>
  <si>
    <t xml:space="preserve">Дефіцит, джерелом покриття якого визначено передачу коштів із загального фонду до бюджету розвитку спеціального фонду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</si>
  <si>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 (обласний бюджет)</t>
  </si>
  <si>
    <t>Департамент охорони здоров"я</t>
  </si>
  <si>
    <t>Субвенція на проведення видатків місцевих бюджетів, що враховуються при визначенні обсягу міжбюджетних трансфертів (Чаплинський центр) Департамент фінансів</t>
  </si>
  <si>
    <t xml:space="preserve">Всього видатки </t>
  </si>
  <si>
    <t>Херсонська обласна державна адміністрація</t>
  </si>
  <si>
    <t>Департамент соціального захисту населення</t>
  </si>
  <si>
    <t xml:space="preserve">Департамент економічного, регіонального розвитку та торгівлі </t>
  </si>
  <si>
    <t>Субвенція на проведення видатків місцевих бюджетів, що враховуються при визначенні обсягу міжбюджетних трансфертів  (для  надання пільг на медичне обслуговування громадян, які постраждали внаслідок Чорнобильської катастрофи) Департамент фінансів</t>
  </si>
  <si>
    <t>Субвенція на проведення видатків місцевих бюджетів, що враховуються при визначенні обсягу міжбюджетних трансфертів  (для  проведення витрат на поховання учасників бойових дій та інвалідів війни) Департамент фінансів</t>
  </si>
  <si>
    <t>Департамент агропромислового розвитку (охорона та раціональне використання використання земель)</t>
  </si>
  <si>
    <t>Управління промисловості та розвитку інфраструктури (ремонт автомоб.доріг комунальної власності)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</si>
  <si>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</si>
  <si>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 - Херсонська обласна державна адміністрація</t>
  </si>
  <si>
    <t xml:space="preserve"> - департамент соціального захисту населення</t>
  </si>
  <si>
    <t>Департамент агропромислового розвитку (охорона та раціональне використання земель)</t>
  </si>
  <si>
    <t>Управління промисловості та розвитку інфраструктури облдержадміністрації (ремонт автомоб.доріг комунальної власності)</t>
  </si>
  <si>
    <t>Департамент фінансів (інші субвенції)</t>
  </si>
  <si>
    <t>Інші субвенції (на співфінансування створення Херсонського перинатального центру)</t>
  </si>
  <si>
    <t>Департамент фінансів всього, у тому числі</t>
  </si>
  <si>
    <t xml:space="preserve"> - субвенція на проведення видатків місцевих бюджетів, що враховуються при визначенні обсягу міжбюджетних трансфертів  (для  надання пільг на медичне обслуговування громадян, які постраждали внаслідок Чорнобильської катастрофи) </t>
  </si>
  <si>
    <t xml:space="preserve"> - субвенція на проведення видатків місцевих бюджетів, що враховуються при визначенні обсягу міжбюджетних трансфертів  (для  проведення витрат на поховання учасників бойових дій та інвалідів війни) </t>
  </si>
  <si>
    <t>Видатки обласного бюджету по головних розпорядниках коштів, із них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</si>
  <si>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</si>
  <si>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</si>
  <si>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10% податку на прибуток підприємств приватного сектору</t>
  </si>
  <si>
    <t>25% рентної плати за користування надрами</t>
  </si>
  <si>
    <t>Плата за використання інших природних ресурсів</t>
  </si>
  <si>
    <t xml:space="preserve">Плата за ліцензії на виробництво спирту етилового, коньячного і плодового, алкогольних напоїв та тютюнових виробів </t>
  </si>
  <si>
    <t xml:space="preserve">Плата за ліцензії на право експорту, імпорту та оптової торгівлі спирту етилового, коньячного та плодового </t>
  </si>
  <si>
    <t xml:space="preserve">Плата за ліцензії на право експорту, імпорту алкогольними напоями та тютюновими виробами 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</si>
  <si>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</si>
  <si>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 xml:space="preserve">Плата за ліцензії на право оптової торгівлі алкогольними напоями та тютюновими виробами </t>
  </si>
  <si>
    <t xml:space="preserve">Плата за ліцензії на право роздрібної торгівлі алкогольними напоями та тютюновими виробами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</si>
  <si>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</si>
  <si>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Орендна плата за водні об'єкти (їх частини), що надаються в користування на умовах оренди обласними державними адміністраціями</t>
  </si>
  <si>
    <t>Базова дотація</t>
  </si>
  <si>
    <t xml:space="preserve">Надходження коштів від відшкодування втрат сільськогосподарського і лісогосподарського виробництва 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</si>
  <si>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</si>
  <si>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Департамент зовнішньоекономічної діяльності, туризму та курортів</t>
  </si>
  <si>
    <t xml:space="preserve">Департамент житлово-комунального господарства та паливно-енергетичного комплексу </t>
  </si>
  <si>
    <t>Департамент агропромислового розвитку</t>
  </si>
  <si>
    <t>Інші надходження до фондів охорони навколишнього природного середовища</t>
  </si>
  <si>
    <t>Разом доходів загального фонду обласного бюджету з урахуванням міжбюджетних трансфертів</t>
  </si>
  <si>
    <t>Разом доходів спеціального фонду обласного бюджету з урахуванням міжбюджетних трансфертів</t>
  </si>
  <si>
    <t>Управління житлово-комунального господарства (видатки на фінансування робіт, пов"язаних з будівництвом,ремонтом та утриманням  автомобільних доріг за рахунок надходжень від податку з власників транспортних засобів та інших самохідних машин і механізмів)</t>
  </si>
  <si>
    <t>Медична субвенція з державного бюджету місцевим бюджетам (обласний бюджет)</t>
  </si>
  <si>
    <t>Плата за ліцензії на певні види господарської діяльності та сертифікати</t>
  </si>
  <si>
    <t>Обсяг погашення заборгованості за середньостроковою позикою на 2016 рік, одержаною обласним бюджетом у 2014 році з єдиного казначейського рахунку у зв’язку з невиконанням розрахункових показників Міністерства фінансів України по доходах, що враховуються при визначенні обсягу міжбюджетних трансфертів</t>
  </si>
  <si>
    <t>Доходи спеціального фонду (без урахування власних надходжень), всього</t>
  </si>
  <si>
    <t>- департамент житлово-комунального господарства та паливно-енергетичного комплексу</t>
  </si>
  <si>
    <t xml:space="preserve"> - департамент з питань цивільного захисту та оборонної роботи</t>
  </si>
  <si>
    <t>Департамент з питань цивільного захисту та оборонної роботи</t>
  </si>
  <si>
    <t xml:space="preserve"> - 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</si>
  <si>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- управління з питань фізичної культури та спорту</t>
  </si>
  <si>
    <t>Управління з питань фізичної культури та спорту</t>
  </si>
  <si>
    <t>Cубвенція з державного бюджету місцевим бюджетам на фінансування заходів соціально-економічної компенсації ризику населення,яке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</si>
  <si>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</si>
  <si>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- Херсонська обласна рада</t>
  </si>
  <si>
    <t>Стабiлiзацiйна дотацiя</t>
  </si>
  <si>
    <t xml:space="preserve">х </t>
  </si>
  <si>
    <t xml:space="preserve">%  виконання до плану  на </t>
  </si>
  <si>
    <t>Освітня субвенція з державного бюджету місцевим бюджетам (обласний бюджет)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</si>
  <si>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(обласний бюджет)</t>
  </si>
  <si>
    <t>Субвенція з державного бюджету місцевим бюджетам на надання державної підтримки особам з особливими освітніми потребами (управління освіти, науки та молоді)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</si>
  <si>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</si>
  <si>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</si>
  <si>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Бюджет розвитку всього, в тому числі:</t>
  </si>
  <si>
    <t>Департамент екології та природних ресурсів (фонд охорони навколишнього природного середовища)</t>
  </si>
  <si>
    <t>Управління транспорту, дорожньої інфраструктури та зв'язку (цільові фонди  )</t>
  </si>
  <si>
    <t>&gt; 203</t>
  </si>
  <si>
    <t>&gt; 204</t>
  </si>
  <si>
    <t>&gt; 205</t>
  </si>
  <si>
    <t>&gt; 206</t>
  </si>
  <si>
    <t>&gt; 207</t>
  </si>
  <si>
    <t>&gt; 208</t>
  </si>
  <si>
    <t>План на</t>
  </si>
  <si>
    <t>Субвенції з державного бюджету місцевим бюджетам на здійснення програм соціального захисту населення</t>
  </si>
  <si>
    <t>Департамент фінансів - всього, у тому числі:</t>
  </si>
  <si>
    <t>- управління містобудування та архітектури</t>
  </si>
  <si>
    <t xml:space="preserve"> - департамент будівництва та розвитку інфраструктури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</si>
  <si>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</si>
  <si>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</si>
  <si>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 xml:space="preserve"> - департамент освіти, науки та молоді</t>
  </si>
  <si>
    <t>Департамент освіти, науки та молоді</t>
  </si>
  <si>
    <t>Департамент будівництва та розвитку інфраструктури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</si>
  <si>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</si>
  <si>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</si>
  <si>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</si>
  <si>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</si>
  <si>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Департамент інвестиційної та промислової політики 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</si>
  <si>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 осіб з їх числа</t>
  </si>
  <si>
    <t>45% рентної плати за спеціальне використання води</t>
  </si>
  <si>
    <t>Інші субвенції з місцевого бюджету</t>
  </si>
  <si>
    <t xml:space="preserve">Субвенція з державного бюджету місцевим бюджетам на надання державної підтримки особам з особливими освітніми потребами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</si>
  <si>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</si>
  <si>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Видатки 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(Департамент охорони здоров'я)</t>
  </si>
  <si>
    <t>Видатки 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 (Департамент охорони здоров'я)</t>
  </si>
  <si>
    <t>Видатки за рахунок субвенції з державного бюджету місцевим бюджетам на відшкодування вартості лікарських засобів для лікування окремих захворювань  (департамент охорони здоров'я)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</si>
  <si>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</si>
  <si>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 - департамент охорони здоров'я </t>
  </si>
  <si>
    <t>Видатки за рахунок субвенції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(департамент охорони здоров'я)</t>
  </si>
  <si>
    <t>Видатки за рахунок субвенції з державного бюджету місцевим бюджетам на придбання медикаментів та виробів медичного призначення для забезпечення швидкої медичної допомоги (департамент охорони здоров'я)</t>
  </si>
  <si>
    <t>Видатки за рахунок субвенції з державного бюджету місцевим бюджетам на відшкодування вартості лікарських засобів для лікування окремих захворювань  (Департамент охорони здоров'я)</t>
  </si>
  <si>
    <t>Субвенція з державного бюджету місцевим бюджетам на відшкодування вартості лікарських засобів для лікування окремих захворювань (місцеві бюджети)</t>
  </si>
  <si>
    <t xml:space="preserve">Кошти, що передаються (отримуються) як компенсація з державного дорожнього фонду  місцевим бюджетам за рахунок коштів, передбачених абзацом другим частини четвертої статті 24 Бюджетного кодексу України </t>
  </si>
  <si>
    <t xml:space="preserve">Кошти, отримані місцевими бюджетами з державного бюджету 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</si>
  <si>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</si>
  <si>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обласному бюджету Херсонської області на будівництво шляхопроводу по просп.Адмірала Сенявіна-вул.Залаегерсег у м.Херсоні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</si>
  <si>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</si>
  <si>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</si>
  <si>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Субвенція з місцевого бюджету 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</si>
  <si>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Управління регіональної політики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</si>
  <si>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 (обласний бюджет)</t>
  </si>
  <si>
    <t>Субвенція з державного бюджету місцевим бюджетам на придбання ангіографічного обладнання (обласний бюджет)</t>
  </si>
  <si>
    <t xml:space="preserve"> - інші субвенції з місцевого бюджету</t>
  </si>
  <si>
    <t>Субвенція з державного бюджету обласному бюджету Херсонської області на будівництво шляхопроводу по просп.Адмірала Сенявіна-вул.Залаегерсег у м.Херсоні (обласний бюджет)</t>
  </si>
  <si>
    <t xml:space="preserve">Заступник директора Департаменту – начальник </t>
  </si>
  <si>
    <t xml:space="preserve">управління фінансів виробничої сфери </t>
  </si>
  <si>
    <t>та організаційного забезпечення</t>
  </si>
  <si>
    <t>О.ГУЛЬКО</t>
  </si>
  <si>
    <t>Н.ВІТРЕНКО</t>
  </si>
  <si>
    <t>Субвенція з місцевого бюджету на виконання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</si>
  <si>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</si>
  <si>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пов΄язаних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</si>
  <si>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сільський місцевості</t>
  </si>
  <si>
    <t>Херсонська обласна рада</t>
  </si>
  <si>
    <t>Видатки за рахунок субвенції з державного бюджету місцевим бюджетам на модернізацію та оновлення матеріально-технічної бази професійно-технічних навчальних закладів (Департамент  освіти, науки та молоді Херсонської обласної державної адміністрації)</t>
  </si>
  <si>
    <t>Видатки за рахунок субвенції з державного бюджету місцевим бюджетам на виплату допомоги сім'ям з дітьми, малозабезпеченим сім'ям, особам,які не мають права на пенсію, особам з інвалідністю, дітям з інвалідністю, тимчасової державної допомоги дітям,тимчасової державної соціальної допомоги непрацюючій особі, яка досягла загального пенсійного віку,але не набула права на пенсійну виплату, допомоги по догляду за особами з інвалідністюІ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(Департамент соціального захисту населення Херсонської обласної державної адміністрації)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</si>
  <si>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захисту»;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</si>
  <si>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t>
  </si>
  <si>
    <t xml:space="preserve"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здоро'я </t>
  </si>
  <si>
    <t xml:space="preserve">Відсотки за використання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</si>
  <si>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</si>
  <si>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Цільові фонди, утворені органами місцевого самоврядування та місцевими органами виконавчої влади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</si>
  <si>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</si>
  <si>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Департамент будівництва та розвитку інфраструктури Херсонської обласної державної адміністрації  (видатки на проведення робіт з будівництва, реконструкції, ремонту та утримання автомобільних доріг)</t>
  </si>
  <si>
    <t>Залишок коштів на 01.01.2019 року</t>
  </si>
  <si>
    <t xml:space="preserve">Субвенція з місцевого бюджету на співфінансування інвестиційних проектів 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</si>
  <si>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</si>
  <si>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</si>
  <si>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 </t>
  </si>
  <si>
    <t>Кошти повернуті у січні - лютому 2019 року відповідним місцевим бюджетам</t>
  </si>
  <si>
    <t>Залишок коштів з урахуванням коригування, проведеного у січні - лютому 2019 року</t>
  </si>
  <si>
    <t>Кошти повернуті у січні 2019 року відповідним місцевим бюджетам</t>
  </si>
  <si>
    <t>Залишок коштів з урахуванням коригування, проведеного у січні 2019 року</t>
  </si>
  <si>
    <t>Департамент житлово-комунального господарства та паливно-енергетичного комплексу  (фонд охорони навколишнього природного середовища)</t>
  </si>
  <si>
    <t>Департамент будівництва та розвитку інфраструктури (фонд охорони навколишнього природного середовища)</t>
  </si>
  <si>
    <t>Департамент будівництва та розвитку інфраструктури Херсонської обласної державної адміністрації  (цільовий фонд)</t>
  </si>
  <si>
    <t>Отримано з державного бюджету</t>
  </si>
  <si>
    <t>Повернуто до державного бюджету</t>
  </si>
  <si>
    <t>Звіт про виконання обласного бюджету  по розділу «Кредитування» за 1 квартал 2019 рік</t>
  </si>
  <si>
    <t>2019 рік</t>
  </si>
  <si>
    <t>Департамент освіти, науки та молоді Херсонської обласної державної адміністрації (надання пільгових кредитів для здобуття професійно-технічної та вищої освіти ("Розвиток людського капіталу" - кредитування))</t>
  </si>
  <si>
    <t>Департамент будівництва та розвитку інфраструктури (надання пільгових довгострокових кредитів молодим сім’ям та одиноким молодим громадянам на будівництво/придбання житла)</t>
  </si>
  <si>
    <t>Департамент будівництва та розвитку інфраструктури (повернення пільгових довгострокових кредитів, наданих молодим сім’ям та одиноким молодим громадянам на будівництво/ придбання житла)</t>
  </si>
  <si>
    <t>Департамент агропромислового розвитку (надання довгострокових кредитів індивідуальним забудовникам житла на селі)</t>
  </si>
  <si>
    <t xml:space="preserve"> 2019 рік</t>
  </si>
  <si>
    <t xml:space="preserve">План на              2019 рік </t>
  </si>
  <si>
    <t>- департамент агропромислового розвитку</t>
  </si>
  <si>
    <t>Залишок коштів на 01.01.19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</si>
  <si>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</si>
  <si>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</si>
  <si>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</si>
  <si>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 xml:space="preserve">Інші розрахунки (перерахування залишків невикористаних коштів минулих років місцевим бюджетам області 
(-4083,0 тис. грн) та перерахування залишків невикористаних коштів спеціального фонду до загального фонду (+43,4 тис. грн)) </t>
  </si>
  <si>
    <t>Профінансовано (+), 
повернуто (-)</t>
  </si>
  <si>
    <t>% виконання до плану на                                І півріччя                     2019 року</t>
  </si>
  <si>
    <t>Департамент агропромислового розвитку (надання довгострокових кредитів громадянам на будівництво / реконструкцію / придбання житла)</t>
  </si>
  <si>
    <t>Департамент агропромислового розвитку (повернення  довгострокових кредитів, наданих індивідуальним забудовникам житла на селі)</t>
  </si>
  <si>
    <t>Департамент агропромислового розвитку (повернення довгострокових кредитів, наданих громадянам на будівництво /  реконструкцію / придбання житла)</t>
  </si>
  <si>
    <t xml:space="preserve"> - управління культури</t>
  </si>
  <si>
    <t xml:space="preserve"> - управління транспортно-комунікаційної інфраструктури</t>
  </si>
  <si>
    <t>Департамент фінансів (субвенція на виконання програм соціально-економічного та культурного розвитку регіонів за рахунок фонду охорони навколишнього природного середовища)</t>
  </si>
  <si>
    <t>Всього доходів спеціального фонду з урахуванням залишку на 01.07.2019 року</t>
  </si>
  <si>
    <t xml:space="preserve">Залишок коштів станом на 01.07.2019 року </t>
  </si>
  <si>
    <t>Надання пільгових довгострокових кредитів молодим сім’ям та одиноким молодим громадянам на будівництво/придбання житла</t>
  </si>
  <si>
    <t>Надання довгострокових кредитів індивідуальним забудовникам житла на селі</t>
  </si>
  <si>
    <t>Надання довгострокових кредитів громадянам на будівництво / реконструкцію / придбання житла</t>
  </si>
  <si>
    <t xml:space="preserve">Інші розрахунки (перерахування залишків коштів із обласного бюджету (-138,3 тис.грн), перерахування залишків невикористаних коштів минулих років (-2338,4 тис.грн) місцевим бюджетам) 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</si>
  <si>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</si>
  <si>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</si>
  <si>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окремихтериторій за рахунок відповідної субвенції з державного бюджету</t>
  </si>
  <si>
    <t>Повернення довгострокових кредитів, наданих громадянам на будівництво /  реконструкцію / 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</si>
  <si>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</si>
  <si>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Повернення  довгострокових кредитів, наданих індивідуальним забудовникам житла на селі</t>
  </si>
  <si>
    <t>Управління культури</t>
  </si>
  <si>
    <t>Управління транспортно-комунікаційної інфраструктури</t>
  </si>
  <si>
    <t>Департамент з питань внутрішньої та інформаційної політики</t>
  </si>
  <si>
    <t>Департамент туризму та курортів</t>
  </si>
  <si>
    <t>Надання пільгових кредитів для здобуття професійно-технічної та вищої освіти ("Розвиток людського капіталу" - кредитування)</t>
  </si>
  <si>
    <t>Всього доходів обласного бюджету з урахуванням залишку на 01.07.2019 року</t>
  </si>
  <si>
    <t>Залишок коштів станом на 01.07.2019 року</t>
  </si>
  <si>
    <t>Звіт про виконання дохідної частини загального фонду обласного бюджету за перше півріччя 2019 року</t>
  </si>
  <si>
    <t>Планові показники на
перше півріччя 
2019 року</t>
  </si>
  <si>
    <t>Звіт про виконання дохідної частини спеціального фонду обласного бюджету за перше півріччя 2019 року</t>
  </si>
  <si>
    <t>перше півріччя 2019 року</t>
  </si>
  <si>
    <t>рік (норма 50%)</t>
  </si>
  <si>
    <t xml:space="preserve">перше півріччя         2019 року </t>
  </si>
  <si>
    <t xml:space="preserve"> Відхилення від плану  на перше півріччя</t>
  </si>
  <si>
    <t>Звіт про виконання загального фонду обласного бюджету за перше півріччя 2019 року</t>
  </si>
  <si>
    <t>План на                         перше півріччя 
2019 року</t>
  </si>
  <si>
    <t>% виконання до  плану на                  перше півріччя 
2019 року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</si>
  <si>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(районному бюджету Верхньорогачицького району)</t>
  </si>
  <si>
    <t>Звіт про виконання обласного бюджету  по розділу «Кредитування» за перше півріччя 2019 року</t>
  </si>
  <si>
    <t>до плану на перше півріччя 
2019 року</t>
  </si>
  <si>
    <t>Звіт про виконання спеціального фонду обласного бюджету за перше півріччя 2019 року</t>
  </si>
  <si>
    <t>План на             перше півріччя               2019 року</t>
  </si>
  <si>
    <t>Відхилення до плану 
на перше півріччя               2019 року
(+,-)</t>
  </si>
  <si>
    <t>Звіт про виконання видаткової частини спеціального фонду обласного бюджету  по головних розпорядниках коштів  за перше півріччя 2019 року</t>
  </si>
  <si>
    <t>до плану на                 перше півріччя</t>
  </si>
  <si>
    <t>Звіт про виконання видаткової частини загального фонду обласного бюджету по головних розпорядниках коштів за перше півріччя 2019 року</t>
  </si>
  <si>
    <t>План на 
перше півріччя 
2019 року</t>
  </si>
</sst>
</file>

<file path=xl/styles.xml><?xml version="1.0" encoding="utf-8"?>
<styleSheet xmlns="http://schemas.openxmlformats.org/spreadsheetml/2006/main">
  <numFmts count="44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"/>
    <numFmt numFmtId="189" formatCode="0.0_ ;[Red]\-0.0\ "/>
    <numFmt numFmtId="190" formatCode="0.000"/>
    <numFmt numFmtId="191" formatCode="0.000000"/>
    <numFmt numFmtId="192" formatCode="#,##0.0"/>
    <numFmt numFmtId="193" formatCode="0.0_ ;\-0.0\ "/>
    <numFmt numFmtId="194" formatCode="#,##0.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color indexed="8"/>
      <name val="Arial Cyr"/>
      <family val="2"/>
    </font>
    <font>
      <b/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7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i/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i/>
      <sz val="14"/>
      <name val="Arial Cyr"/>
      <family val="0"/>
    </font>
    <font>
      <b/>
      <sz val="14"/>
      <name val="Arial"/>
      <family val="2"/>
    </font>
    <font>
      <b/>
      <i/>
      <sz val="14"/>
      <name val="Arial Cyr"/>
      <family val="0"/>
    </font>
    <font>
      <sz val="10"/>
      <color indexed="12"/>
      <name val="Arial Cyr"/>
      <family val="2"/>
    </font>
    <font>
      <b/>
      <sz val="10"/>
      <color indexed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2"/>
    </font>
    <font>
      <sz val="9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92" fontId="0" fillId="0" borderId="0" xfId="0" applyNumberFormat="1" applyFill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/>
    </xf>
    <xf numFmtId="188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192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9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92" fontId="1" fillId="0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8" fontId="20" fillId="34" borderId="15" xfId="0" applyNumberFormat="1" applyFont="1" applyFill="1" applyBorder="1" applyAlignment="1">
      <alignment horizontal="center"/>
    </xf>
    <xf numFmtId="188" fontId="20" fillId="34" borderId="16" xfId="0" applyNumberFormat="1" applyFont="1" applyFill="1" applyBorder="1" applyAlignment="1">
      <alignment horizontal="center"/>
    </xf>
    <xf numFmtId="188" fontId="20" fillId="34" borderId="17" xfId="0" applyNumberFormat="1" applyFont="1" applyFill="1" applyBorder="1" applyAlignment="1">
      <alignment horizontal="center"/>
    </xf>
    <xf numFmtId="188" fontId="20" fillId="34" borderId="13" xfId="0" applyNumberFormat="1" applyFont="1" applyFill="1" applyBorder="1" applyAlignment="1">
      <alignment horizontal="center"/>
    </xf>
    <xf numFmtId="188" fontId="20" fillId="34" borderId="14" xfId="0" applyNumberFormat="1" applyFont="1" applyFill="1" applyBorder="1" applyAlignment="1">
      <alignment horizontal="center"/>
    </xf>
    <xf numFmtId="188" fontId="20" fillId="34" borderId="18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188" fontId="20" fillId="34" borderId="19" xfId="0" applyNumberFormat="1" applyFont="1" applyFill="1" applyBorder="1" applyAlignment="1">
      <alignment horizontal="center"/>
    </xf>
    <xf numFmtId="188" fontId="20" fillId="34" borderId="20" xfId="0" applyNumberFormat="1" applyFont="1" applyFill="1" applyBorder="1" applyAlignment="1">
      <alignment horizontal="center"/>
    </xf>
    <xf numFmtId="188" fontId="20" fillId="34" borderId="21" xfId="0" applyNumberFormat="1" applyFont="1" applyFill="1" applyBorder="1" applyAlignment="1">
      <alignment horizontal="center"/>
    </xf>
    <xf numFmtId="0" fontId="20" fillId="34" borderId="22" xfId="0" applyFont="1" applyFill="1" applyBorder="1" applyAlignment="1">
      <alignment horizontal="left" vertical="top" wrapText="1"/>
    </xf>
    <xf numFmtId="188" fontId="20" fillId="34" borderId="23" xfId="0" applyNumberFormat="1" applyFont="1" applyFill="1" applyBorder="1" applyAlignment="1">
      <alignment horizontal="center"/>
    </xf>
    <xf numFmtId="2" fontId="21" fillId="34" borderId="24" xfId="0" applyNumberFormat="1" applyFont="1" applyFill="1" applyBorder="1" applyAlignment="1">
      <alignment horizontal="left" vertical="center" wrapText="1"/>
    </xf>
    <xf numFmtId="188" fontId="20" fillId="34" borderId="2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 horizontal="center"/>
    </xf>
    <xf numFmtId="193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88" fontId="18" fillId="34" borderId="26" xfId="0" applyNumberFormat="1" applyFont="1" applyFill="1" applyBorder="1" applyAlignment="1">
      <alignment horizontal="center"/>
    </xf>
    <xf numFmtId="188" fontId="18" fillId="34" borderId="27" xfId="0" applyNumberFormat="1" applyFont="1" applyFill="1" applyBorder="1" applyAlignment="1">
      <alignment horizontal="center"/>
    </xf>
    <xf numFmtId="188" fontId="18" fillId="34" borderId="28" xfId="0" applyNumberFormat="1" applyFont="1" applyFill="1" applyBorder="1" applyAlignment="1">
      <alignment horizontal="center"/>
    </xf>
    <xf numFmtId="188" fontId="18" fillId="34" borderId="29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 horizontal="left" vertical="center" wrapText="1"/>
    </xf>
    <xf numFmtId="0" fontId="20" fillId="34" borderId="30" xfId="0" applyNumberFormat="1" applyFont="1" applyFill="1" applyBorder="1" applyAlignment="1">
      <alignment horizontal="left" vertical="top" wrapText="1"/>
    </xf>
    <xf numFmtId="0" fontId="23" fillId="34" borderId="31" xfId="0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188" fontId="0" fillId="0" borderId="0" xfId="0" applyNumberFormat="1" applyFill="1" applyAlignment="1">
      <alignment horizontal="center"/>
    </xf>
    <xf numFmtId="189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49" fontId="0" fillId="35" borderId="18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89" fontId="0" fillId="0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49" fontId="0" fillId="35" borderId="18" xfId="0" applyNumberFormat="1" applyFill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88" fontId="28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2" fontId="15" fillId="0" borderId="35" xfId="0" applyNumberFormat="1" applyFon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vertical="center" wrapText="1"/>
    </xf>
    <xf numFmtId="49" fontId="0" fillId="35" borderId="18" xfId="0" applyNumberFormat="1" applyFont="1" applyFill="1" applyBorder="1" applyAlignment="1">
      <alignment vertical="center" wrapText="1"/>
    </xf>
    <xf numFmtId="49" fontId="0" fillId="35" borderId="25" xfId="0" applyNumberFormat="1" applyFill="1" applyBorder="1" applyAlignment="1">
      <alignment vertical="center" wrapText="1"/>
    </xf>
    <xf numFmtId="49" fontId="0" fillId="35" borderId="25" xfId="0" applyNumberFormat="1" applyFont="1" applyFill="1" applyBorder="1" applyAlignment="1">
      <alignment vertical="center" wrapText="1"/>
    </xf>
    <xf numFmtId="49" fontId="0" fillId="35" borderId="15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193" fontId="0" fillId="0" borderId="14" xfId="0" applyNumberFormat="1" applyFont="1" applyFill="1" applyBorder="1" applyAlignment="1">
      <alignment horizontal="center"/>
    </xf>
    <xf numFmtId="192" fontId="69" fillId="0" borderId="0" xfId="0" applyNumberFormat="1" applyFont="1" applyFill="1" applyAlignment="1">
      <alignment/>
    </xf>
    <xf numFmtId="0" fontId="20" fillId="34" borderId="3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5" fillId="0" borderId="37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2" fontId="19" fillId="0" borderId="18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2" fillId="0" borderId="18" xfId="0" applyNumberFormat="1" applyFont="1" applyFill="1" applyBorder="1" applyAlignment="1">
      <alignment vertical="center" wrapText="1"/>
    </xf>
    <xf numFmtId="2" fontId="12" fillId="0" borderId="18" xfId="0" applyNumberFormat="1" applyFont="1" applyFill="1" applyBorder="1" applyAlignment="1">
      <alignment horizontal="left" vertical="center" wrapText="1"/>
    </xf>
    <xf numFmtId="188" fontId="0" fillId="0" borderId="13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2" fontId="12" fillId="0" borderId="3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justify" vertical="center" wrapText="1"/>
    </xf>
    <xf numFmtId="188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 vertical="center" wrapText="1"/>
    </xf>
    <xf numFmtId="189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9" fontId="0" fillId="0" borderId="13" xfId="57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5" fillId="0" borderId="36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188" fontId="15" fillId="0" borderId="33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188" fontId="15" fillId="0" borderId="45" xfId="0" applyNumberFormat="1" applyFont="1" applyFill="1" applyBorder="1" applyAlignment="1">
      <alignment horizontal="center" vertical="center" wrapText="1"/>
    </xf>
    <xf numFmtId="188" fontId="15" fillId="0" borderId="46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88" fontId="15" fillId="0" borderId="48" xfId="0" applyNumberFormat="1" applyFont="1" applyFill="1" applyBorder="1" applyAlignment="1">
      <alignment horizontal="center" vertical="center" wrapText="1"/>
    </xf>
    <xf numFmtId="188" fontId="15" fillId="0" borderId="54" xfId="0" applyNumberFormat="1" applyFont="1" applyFill="1" applyBorder="1" applyAlignment="1">
      <alignment horizontal="center" vertical="center" wrapText="1"/>
    </xf>
    <xf numFmtId="188" fontId="15" fillId="0" borderId="55" xfId="0" applyNumberFormat="1" applyFont="1" applyFill="1" applyBorder="1" applyAlignment="1">
      <alignment horizontal="center" vertical="center" wrapText="1"/>
    </xf>
    <xf numFmtId="2" fontId="15" fillId="0" borderId="47" xfId="0" applyNumberFormat="1" applyFont="1" applyFill="1" applyBorder="1" applyAlignment="1">
      <alignment horizontal="center" vertical="center" wrapText="1"/>
    </xf>
    <xf numFmtId="2" fontId="15" fillId="0" borderId="56" xfId="0" applyNumberFormat="1" applyFont="1" applyFill="1" applyBorder="1" applyAlignment="1">
      <alignment horizontal="center" vertical="center" wrapText="1"/>
    </xf>
    <xf numFmtId="2" fontId="15" fillId="0" borderId="57" xfId="0" applyNumberFormat="1" applyFont="1" applyFill="1" applyBorder="1" applyAlignment="1">
      <alignment horizontal="center" vertical="center" wrapText="1"/>
    </xf>
    <xf numFmtId="2" fontId="15" fillId="0" borderId="5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2" fontId="16" fillId="0" borderId="3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192" fontId="1" fillId="0" borderId="16" xfId="0" applyNumberFormat="1" applyFont="1" applyFill="1" applyBorder="1" applyAlignment="1">
      <alignment horizontal="center"/>
    </xf>
    <xf numFmtId="192" fontId="1" fillId="0" borderId="2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192" fontId="1" fillId="0" borderId="35" xfId="0" applyNumberFormat="1" applyFont="1" applyFill="1" applyBorder="1" applyAlignment="1">
      <alignment horizontal="center"/>
    </xf>
    <xf numFmtId="192" fontId="1" fillId="0" borderId="40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/>
    </xf>
    <xf numFmtId="0" fontId="71" fillId="0" borderId="0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 wrapText="1"/>
    </xf>
    <xf numFmtId="0" fontId="72" fillId="0" borderId="6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vertical="center" wrapText="1"/>
    </xf>
    <xf numFmtId="0" fontId="71" fillId="0" borderId="62" xfId="0" applyFont="1" applyFill="1" applyBorder="1" applyAlignment="1">
      <alignment horizontal="center" vertical="center" wrapText="1"/>
    </xf>
    <xf numFmtId="49" fontId="72" fillId="0" borderId="44" xfId="0" applyNumberFormat="1" applyFont="1" applyFill="1" applyBorder="1" applyAlignment="1">
      <alignment horizontal="center" vertical="center" wrapText="1"/>
    </xf>
    <xf numFmtId="49" fontId="72" fillId="0" borderId="55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44" xfId="0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vertical="center" wrapText="1"/>
    </xf>
    <xf numFmtId="0" fontId="71" fillId="0" borderId="44" xfId="0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/>
    </xf>
    <xf numFmtId="189" fontId="71" fillId="0" borderId="62" xfId="0" applyNumberFormat="1" applyFont="1" applyFill="1" applyBorder="1" applyAlignment="1">
      <alignment/>
    </xf>
    <xf numFmtId="189" fontId="71" fillId="0" borderId="11" xfId="0" applyNumberFormat="1" applyFont="1" applyFill="1" applyBorder="1" applyAlignment="1">
      <alignment/>
    </xf>
    <xf numFmtId="189" fontId="70" fillId="0" borderId="62" xfId="57" applyNumberFormat="1" applyFont="1" applyFill="1" applyBorder="1" applyAlignment="1">
      <alignment/>
    </xf>
    <xf numFmtId="0" fontId="71" fillId="0" borderId="66" xfId="0" applyFont="1" applyFill="1" applyBorder="1" applyAlignment="1">
      <alignment/>
    </xf>
    <xf numFmtId="189" fontId="71" fillId="0" borderId="63" xfId="0" applyNumberFormat="1" applyFont="1" applyFill="1" applyBorder="1" applyAlignment="1">
      <alignment/>
    </xf>
    <xf numFmtId="0" fontId="71" fillId="0" borderId="42" xfId="0" applyFont="1" applyFill="1" applyBorder="1" applyAlignment="1">
      <alignment wrapText="1"/>
    </xf>
    <xf numFmtId="189" fontId="71" fillId="0" borderId="33" xfId="0" applyNumberFormat="1" applyFont="1" applyFill="1" applyBorder="1" applyAlignment="1">
      <alignment horizontal="center"/>
    </xf>
    <xf numFmtId="189" fontId="71" fillId="0" borderId="57" xfId="0" applyNumberFormat="1" applyFont="1" applyFill="1" applyBorder="1" applyAlignment="1">
      <alignment horizontal="center"/>
    </xf>
    <xf numFmtId="189" fontId="71" fillId="0" borderId="67" xfId="57" applyNumberFormat="1" applyFont="1" applyFill="1" applyBorder="1" applyAlignment="1">
      <alignment horizontal="center"/>
    </xf>
    <xf numFmtId="189" fontId="71" fillId="0" borderId="47" xfId="0" applyNumberFormat="1" applyFont="1" applyFill="1" applyBorder="1" applyAlignment="1">
      <alignment horizontal="center"/>
    </xf>
    <xf numFmtId="189" fontId="71" fillId="0" borderId="34" xfId="0" applyNumberFormat="1" applyFont="1" applyFill="1" applyBorder="1" applyAlignment="1">
      <alignment horizontal="center"/>
    </xf>
    <xf numFmtId="189" fontId="71" fillId="0" borderId="68" xfId="0" applyNumberFormat="1" applyFont="1" applyFill="1" applyBorder="1" applyAlignment="1">
      <alignment horizontal="center"/>
    </xf>
    <xf numFmtId="189" fontId="71" fillId="0" borderId="0" xfId="0" applyNumberFormat="1" applyFont="1" applyFill="1" applyBorder="1" applyAlignment="1">
      <alignment/>
    </xf>
    <xf numFmtId="49" fontId="71" fillId="0" borderId="18" xfId="0" applyNumberFormat="1" applyFont="1" applyFill="1" applyBorder="1" applyAlignment="1">
      <alignment vertical="center" wrapText="1"/>
    </xf>
    <xf numFmtId="189" fontId="71" fillId="0" borderId="16" xfId="0" applyNumberFormat="1" applyFont="1" applyFill="1" applyBorder="1" applyAlignment="1">
      <alignment horizontal="center"/>
    </xf>
    <xf numFmtId="189" fontId="71" fillId="0" borderId="17" xfId="0" applyNumberFormat="1" applyFont="1" applyFill="1" applyBorder="1" applyAlignment="1">
      <alignment horizontal="center"/>
    </xf>
    <xf numFmtId="189" fontId="71" fillId="0" borderId="47" xfId="57" applyNumberFormat="1" applyFont="1" applyFill="1" applyBorder="1" applyAlignment="1">
      <alignment horizontal="center"/>
    </xf>
    <xf numFmtId="189" fontId="71" fillId="0" borderId="14" xfId="0" applyNumberFormat="1" applyFont="1" applyFill="1" applyBorder="1" applyAlignment="1">
      <alignment horizontal="center"/>
    </xf>
    <xf numFmtId="0" fontId="71" fillId="0" borderId="62" xfId="0" applyFont="1" applyFill="1" applyBorder="1" applyAlignment="1">
      <alignment/>
    </xf>
    <xf numFmtId="49" fontId="71" fillId="0" borderId="18" xfId="0" applyNumberFormat="1" applyFont="1" applyFill="1" applyBorder="1" applyAlignment="1">
      <alignment wrapText="1"/>
    </xf>
    <xf numFmtId="189" fontId="71" fillId="0" borderId="13" xfId="0" applyNumberFormat="1" applyFont="1" applyFill="1" applyBorder="1" applyAlignment="1">
      <alignment horizontal="center"/>
    </xf>
    <xf numFmtId="189" fontId="71" fillId="0" borderId="67" xfId="0" applyNumberFormat="1" applyFont="1" applyFill="1" applyBorder="1" applyAlignment="1">
      <alignment horizontal="center"/>
    </xf>
    <xf numFmtId="193" fontId="71" fillId="0" borderId="21" xfId="0" applyNumberFormat="1" applyFont="1" applyFill="1" applyBorder="1" applyAlignment="1">
      <alignment horizontal="center"/>
    </xf>
    <xf numFmtId="189" fontId="71" fillId="0" borderId="69" xfId="0" applyNumberFormat="1" applyFont="1" applyFill="1" applyBorder="1" applyAlignment="1">
      <alignment horizontal="center"/>
    </xf>
    <xf numFmtId="189" fontId="70" fillId="0" borderId="27" xfId="0" applyNumberFormat="1" applyFont="1" applyFill="1" applyBorder="1" applyAlignment="1">
      <alignment horizontal="center"/>
    </xf>
    <xf numFmtId="189" fontId="70" fillId="0" borderId="28" xfId="57" applyNumberFormat="1" applyFont="1" applyFill="1" applyBorder="1" applyAlignment="1">
      <alignment horizontal="center"/>
    </xf>
    <xf numFmtId="193" fontId="70" fillId="0" borderId="29" xfId="0" applyNumberFormat="1" applyFont="1" applyFill="1" applyBorder="1" applyAlignment="1">
      <alignment horizontal="center"/>
    </xf>
    <xf numFmtId="189" fontId="70" fillId="0" borderId="61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188" fontId="71" fillId="0" borderId="0" xfId="0" applyNumberFormat="1" applyFont="1" applyFill="1" applyAlignment="1">
      <alignment/>
    </xf>
    <xf numFmtId="189" fontId="70" fillId="0" borderId="28" xfId="0" applyNumberFormat="1" applyFont="1" applyFill="1" applyBorder="1" applyAlignment="1">
      <alignment horizontal="center"/>
    </xf>
    <xf numFmtId="193" fontId="71" fillId="0" borderId="23" xfId="0" applyNumberFormat="1" applyFont="1" applyFill="1" applyBorder="1" applyAlignment="1">
      <alignment horizontal="center"/>
    </xf>
    <xf numFmtId="189" fontId="71" fillId="0" borderId="53" xfId="0" applyNumberFormat="1" applyFont="1" applyFill="1" applyBorder="1" applyAlignment="1">
      <alignment horizontal="center"/>
    </xf>
    <xf numFmtId="189" fontId="71" fillId="0" borderId="17" xfId="57" applyNumberFormat="1" applyFont="1" applyFill="1" applyBorder="1" applyAlignment="1">
      <alignment horizontal="center"/>
    </xf>
    <xf numFmtId="2" fontId="74" fillId="0" borderId="18" xfId="0" applyNumberFormat="1" applyFont="1" applyFill="1" applyBorder="1" applyAlignment="1">
      <alignment wrapText="1"/>
    </xf>
    <xf numFmtId="0" fontId="71" fillId="0" borderId="18" xfId="0" applyNumberFormat="1" applyFont="1" applyFill="1" applyBorder="1" applyAlignment="1">
      <alignment wrapText="1"/>
    </xf>
    <xf numFmtId="0" fontId="74" fillId="0" borderId="18" xfId="0" applyFont="1" applyFill="1" applyBorder="1" applyAlignment="1">
      <alignment wrapText="1"/>
    </xf>
    <xf numFmtId="188" fontId="71" fillId="0" borderId="13" xfId="0" applyNumberFormat="1" applyFont="1" applyFill="1" applyBorder="1" applyAlignment="1">
      <alignment horizontal="center"/>
    </xf>
    <xf numFmtId="189" fontId="71" fillId="0" borderId="23" xfId="0" applyNumberFormat="1" applyFont="1" applyFill="1" applyBorder="1" applyAlignment="1">
      <alignment horizontal="center"/>
    </xf>
    <xf numFmtId="188" fontId="71" fillId="0" borderId="20" xfId="0" applyNumberFormat="1" applyFont="1" applyFill="1" applyBorder="1" applyAlignment="1">
      <alignment horizontal="center"/>
    </xf>
    <xf numFmtId="189" fontId="71" fillId="0" borderId="67" xfId="57" applyNumberFormat="1" applyFont="1" applyFill="1" applyBorder="1" applyAlignment="1">
      <alignment horizontal="center"/>
    </xf>
    <xf numFmtId="49" fontId="70" fillId="0" borderId="26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 horizontal="right"/>
    </xf>
    <xf numFmtId="189" fontId="7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4" fillId="0" borderId="67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88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8" fontId="0" fillId="0" borderId="13" xfId="0" applyNumberFormat="1" applyFont="1" applyFill="1" applyBorder="1" applyAlignment="1">
      <alignment horizontal="center" vertical="center"/>
    </xf>
    <xf numFmtId="193" fontId="0" fillId="0" borderId="14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/>
    </xf>
    <xf numFmtId="193" fontId="1" fillId="0" borderId="14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93" fontId="0" fillId="0" borderId="14" xfId="0" applyNumberFormat="1" applyFont="1" applyFill="1" applyBorder="1" applyAlignment="1">
      <alignment horizontal="right" vertical="center"/>
    </xf>
    <xf numFmtId="188" fontId="1" fillId="0" borderId="13" xfId="0" applyNumberFormat="1" applyFont="1" applyFill="1" applyBorder="1" applyAlignment="1">
      <alignment horizontal="right" vertical="center"/>
    </xf>
    <xf numFmtId="188" fontId="1" fillId="0" borderId="14" xfId="0" applyNumberFormat="1" applyFont="1" applyFill="1" applyBorder="1" applyAlignment="1">
      <alignment horizontal="right" vertical="center"/>
    </xf>
    <xf numFmtId="193" fontId="1" fillId="0" borderId="14" xfId="0" applyNumberFormat="1" applyFont="1" applyFill="1" applyBorder="1" applyAlignment="1">
      <alignment horizontal="right" vertical="center"/>
    </xf>
    <xf numFmtId="188" fontId="1" fillId="0" borderId="27" xfId="0" applyNumberFormat="1" applyFont="1" applyFill="1" applyBorder="1" applyAlignment="1">
      <alignment horizontal="center" vertical="center"/>
    </xf>
    <xf numFmtId="188" fontId="0" fillId="0" borderId="16" xfId="0" applyNumberFormat="1" applyFont="1" applyFill="1" applyBorder="1" applyAlignment="1">
      <alignment horizontal="center" vertical="center"/>
    </xf>
    <xf numFmtId="188" fontId="0" fillId="0" borderId="66" xfId="0" applyNumberFormat="1" applyFont="1" applyFill="1" applyBorder="1" applyAlignment="1">
      <alignment horizontal="right" vertical="center"/>
    </xf>
    <xf numFmtId="188" fontId="1" fillId="0" borderId="27" xfId="0" applyNumberFormat="1" applyFont="1" applyFill="1" applyBorder="1" applyAlignment="1">
      <alignment horizontal="right" vertical="center"/>
    </xf>
    <xf numFmtId="188" fontId="1" fillId="0" borderId="29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2" fillId="0" borderId="13" xfId="0" applyNumberFormat="1" applyFont="1" applyFill="1" applyBorder="1" applyAlignment="1">
      <alignment horizontal="center" vertical="center"/>
    </xf>
    <xf numFmtId="193" fontId="2" fillId="0" borderId="14" xfId="0" applyNumberFormat="1" applyFont="1" applyFill="1" applyBorder="1" applyAlignment="1">
      <alignment horizontal="center" vertical="center"/>
    </xf>
    <xf numFmtId="192" fontId="1" fillId="0" borderId="20" xfId="0" applyNumberFormat="1" applyFont="1" applyFill="1" applyBorder="1" applyAlignment="1">
      <alignment horizontal="center" vertical="center"/>
    </xf>
    <xf numFmtId="188" fontId="1" fillId="0" borderId="20" xfId="0" applyNumberFormat="1" applyFont="1" applyFill="1" applyBorder="1" applyAlignment="1">
      <alignment horizontal="center" vertical="center"/>
    </xf>
    <xf numFmtId="193" fontId="1" fillId="0" borderId="21" xfId="0" applyNumberFormat="1" applyFont="1" applyFill="1" applyBorder="1" applyAlignment="1">
      <alignment horizontal="center" vertical="center"/>
    </xf>
    <xf numFmtId="192" fontId="1" fillId="0" borderId="27" xfId="0" applyNumberFormat="1" applyFont="1" applyFill="1" applyBorder="1" applyAlignment="1">
      <alignment horizontal="center" vertical="center"/>
    </xf>
    <xf numFmtId="192" fontId="1" fillId="0" borderId="20" xfId="0" applyNumberFormat="1" applyFont="1" applyFill="1" applyBorder="1" applyAlignment="1">
      <alignment horizontal="right" vertical="center"/>
    </xf>
    <xf numFmtId="192" fontId="1" fillId="0" borderId="27" xfId="0" applyNumberFormat="1" applyFont="1" applyFill="1" applyBorder="1" applyAlignment="1">
      <alignment horizontal="right" vertical="center"/>
    </xf>
    <xf numFmtId="188" fontId="2" fillId="0" borderId="13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193" fontId="0" fillId="0" borderId="2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20" fillId="34" borderId="3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34" borderId="30" xfId="0" applyFont="1" applyFill="1" applyBorder="1" applyAlignment="1">
      <alignment horizontal="left" vertical="center" wrapText="1"/>
    </xf>
    <xf numFmtId="49" fontId="22" fillId="34" borderId="30" xfId="0" applyNumberFormat="1" applyFont="1" applyFill="1" applyBorder="1" applyAlignment="1">
      <alignment horizontal="left" vertical="center" wrapText="1"/>
    </xf>
    <xf numFmtId="0" fontId="22" fillId="0" borderId="30" xfId="0" applyNumberFormat="1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>
      <alignment horizontal="left" vertical="center" wrapText="1"/>
    </xf>
    <xf numFmtId="49" fontId="22" fillId="34" borderId="24" xfId="0" applyNumberFormat="1" applyFont="1" applyFill="1" applyBorder="1" applyAlignment="1">
      <alignment horizontal="left" vertical="center" wrapText="1"/>
    </xf>
    <xf numFmtId="49" fontId="18" fillId="0" borderId="36" xfId="0" applyNumberFormat="1" applyFont="1" applyFill="1" applyBorder="1" applyAlignment="1">
      <alignment vertical="center"/>
    </xf>
    <xf numFmtId="188" fontId="18" fillId="0" borderId="27" xfId="0" applyNumberFormat="1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left" vertical="center" wrapText="1"/>
    </xf>
    <xf numFmtId="188" fontId="20" fillId="0" borderId="66" xfId="0" applyNumberFormat="1" applyFont="1" applyFill="1" applyBorder="1" applyAlignment="1">
      <alignment horizontal="center" vertical="center"/>
    </xf>
    <xf numFmtId="188" fontId="20" fillId="0" borderId="19" xfId="0" applyNumberFormat="1" applyFont="1" applyFill="1" applyBorder="1" applyAlignment="1">
      <alignment horizontal="center" vertical="center"/>
    </xf>
    <xf numFmtId="188" fontId="20" fillId="0" borderId="73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188" fontId="20" fillId="0" borderId="15" xfId="0" applyNumberFormat="1" applyFont="1" applyFill="1" applyBorder="1" applyAlignment="1">
      <alignment horizontal="right" vertical="center"/>
    </xf>
    <xf numFmtId="188" fontId="20" fillId="0" borderId="16" xfId="0" applyNumberFormat="1" applyFont="1" applyFill="1" applyBorder="1" applyAlignment="1">
      <alignment horizontal="right" vertical="center"/>
    </xf>
    <xf numFmtId="188" fontId="20" fillId="0" borderId="17" xfId="0" applyNumberFormat="1" applyFont="1" applyFill="1" applyBorder="1" applyAlignment="1">
      <alignment horizontal="right" vertical="center"/>
    </xf>
    <xf numFmtId="188" fontId="20" fillId="0" borderId="13" xfId="0" applyNumberFormat="1" applyFont="1" applyFill="1" applyBorder="1" applyAlignment="1">
      <alignment horizontal="right" vertical="center"/>
    </xf>
    <xf numFmtId="188" fontId="20" fillId="0" borderId="14" xfId="0" applyNumberFormat="1" applyFont="1" applyFill="1" applyBorder="1" applyAlignment="1">
      <alignment horizontal="right" vertical="center"/>
    </xf>
    <xf numFmtId="188" fontId="20" fillId="34" borderId="18" xfId="0" applyNumberFormat="1" applyFont="1" applyFill="1" applyBorder="1" applyAlignment="1">
      <alignment horizontal="right" vertical="center"/>
    </xf>
    <xf numFmtId="188" fontId="20" fillId="34" borderId="16" xfId="0" applyNumberFormat="1" applyFont="1" applyFill="1" applyBorder="1" applyAlignment="1">
      <alignment horizontal="right" vertical="center"/>
    </xf>
    <xf numFmtId="188" fontId="20" fillId="34" borderId="13" xfId="0" applyNumberFormat="1" applyFont="1" applyFill="1" applyBorder="1" applyAlignment="1">
      <alignment horizontal="right" vertical="center"/>
    </xf>
    <xf numFmtId="188" fontId="20" fillId="34" borderId="17" xfId="0" applyNumberFormat="1" applyFont="1" applyFill="1" applyBorder="1" applyAlignment="1">
      <alignment horizontal="right" vertical="center"/>
    </xf>
    <xf numFmtId="188" fontId="20" fillId="34" borderId="14" xfId="0" applyNumberFormat="1" applyFont="1" applyFill="1" applyBorder="1" applyAlignment="1">
      <alignment horizontal="right" vertical="center"/>
    </xf>
    <xf numFmtId="188" fontId="20" fillId="0" borderId="18" xfId="0" applyNumberFormat="1" applyFont="1" applyFill="1" applyBorder="1" applyAlignment="1">
      <alignment horizontal="right" vertical="center"/>
    </xf>
    <xf numFmtId="188" fontId="20" fillId="34" borderId="22" xfId="0" applyNumberFormat="1" applyFont="1" applyFill="1" applyBorder="1" applyAlignment="1">
      <alignment horizontal="right" vertical="center"/>
    </xf>
    <xf numFmtId="192" fontId="20" fillId="34" borderId="13" xfId="0" applyNumberFormat="1" applyFont="1" applyFill="1" applyBorder="1" applyAlignment="1">
      <alignment horizontal="right" vertical="center"/>
    </xf>
    <xf numFmtId="188" fontId="20" fillId="0" borderId="30" xfId="0" applyNumberFormat="1" applyFont="1" applyFill="1" applyBorder="1" applyAlignment="1">
      <alignment horizontal="right" vertical="center"/>
    </xf>
    <xf numFmtId="188" fontId="22" fillId="0" borderId="18" xfId="0" applyNumberFormat="1" applyFont="1" applyFill="1" applyBorder="1" applyAlignment="1">
      <alignment horizontal="right" vertical="center"/>
    </xf>
    <xf numFmtId="188" fontId="22" fillId="0" borderId="13" xfId="0" applyNumberFormat="1" applyFont="1" applyFill="1" applyBorder="1" applyAlignment="1">
      <alignment horizontal="right" vertical="center"/>
    </xf>
    <xf numFmtId="188" fontId="22" fillId="34" borderId="18" xfId="0" applyNumberFormat="1" applyFont="1" applyFill="1" applyBorder="1" applyAlignment="1">
      <alignment horizontal="right" vertical="center"/>
    </xf>
    <xf numFmtId="188" fontId="22" fillId="34" borderId="13" xfId="0" applyNumberFormat="1" applyFont="1" applyFill="1" applyBorder="1" applyAlignment="1">
      <alignment horizontal="right" vertical="center"/>
    </xf>
    <xf numFmtId="188" fontId="22" fillId="34" borderId="25" xfId="0" applyNumberFormat="1" applyFont="1" applyFill="1" applyBorder="1" applyAlignment="1">
      <alignment horizontal="right" vertical="center"/>
    </xf>
    <xf numFmtId="188" fontId="22" fillId="34" borderId="20" xfId="0" applyNumberFormat="1" applyFont="1" applyFill="1" applyBorder="1" applyAlignment="1">
      <alignment horizontal="right" vertical="center"/>
    </xf>
    <xf numFmtId="188" fontId="20" fillId="34" borderId="19" xfId="0" applyNumberFormat="1" applyFont="1" applyFill="1" applyBorder="1" applyAlignment="1">
      <alignment horizontal="right" vertical="center"/>
    </xf>
    <xf numFmtId="188" fontId="18" fillId="0" borderId="74" xfId="0" applyNumberFormat="1" applyFont="1" applyFill="1" applyBorder="1" applyAlignment="1">
      <alignment horizontal="right" vertical="center"/>
    </xf>
    <xf numFmtId="188" fontId="18" fillId="0" borderId="28" xfId="0" applyNumberFormat="1" applyFont="1" applyFill="1" applyBorder="1" applyAlignment="1">
      <alignment horizontal="right" vertical="center"/>
    </xf>
    <xf numFmtId="188" fontId="18" fillId="0" borderId="27" xfId="0" applyNumberFormat="1" applyFont="1" applyFill="1" applyBorder="1" applyAlignment="1">
      <alignment horizontal="right" vertical="center"/>
    </xf>
    <xf numFmtId="188" fontId="18" fillId="0" borderId="29" xfId="0" applyNumberFormat="1" applyFont="1" applyFill="1" applyBorder="1" applyAlignment="1">
      <alignment horizontal="right" vertical="center"/>
    </xf>
    <xf numFmtId="188" fontId="20" fillId="0" borderId="38" xfId="0" applyNumberFormat="1" applyFont="1" applyFill="1" applyBorder="1" applyAlignment="1">
      <alignment horizontal="right" vertical="center"/>
    </xf>
    <xf numFmtId="188" fontId="18" fillId="0" borderId="26" xfId="0" applyNumberFormat="1" applyFont="1" applyFill="1" applyBorder="1" applyAlignment="1">
      <alignment horizontal="right" vertical="center"/>
    </xf>
    <xf numFmtId="188" fontId="20" fillId="0" borderId="66" xfId="0" applyNumberFormat="1" applyFont="1" applyFill="1" applyBorder="1" applyAlignment="1">
      <alignment horizontal="right" vertical="center"/>
    </xf>
    <xf numFmtId="189" fontId="71" fillId="0" borderId="13" xfId="0" applyNumberFormat="1" applyFont="1" applyFill="1" applyBorder="1" applyAlignment="1">
      <alignment horizontal="center" vertical="center"/>
    </xf>
    <xf numFmtId="189" fontId="71" fillId="0" borderId="68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49" fontId="71" fillId="0" borderId="25" xfId="0" applyNumberFormat="1" applyFont="1" applyFill="1" applyBorder="1" applyAlignment="1">
      <alignment vertical="center" wrapText="1"/>
    </xf>
    <xf numFmtId="189" fontId="71" fillId="0" borderId="20" xfId="0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left" vertical="center" wrapText="1"/>
    </xf>
    <xf numFmtId="189" fontId="71" fillId="0" borderId="69" xfId="0" applyNumberFormat="1" applyFont="1" applyFill="1" applyBorder="1" applyAlignment="1">
      <alignment horizontal="center" vertical="center"/>
    </xf>
    <xf numFmtId="49" fontId="70" fillId="0" borderId="26" xfId="0" applyNumberFormat="1" applyFont="1" applyFill="1" applyBorder="1" applyAlignment="1">
      <alignment vertical="center"/>
    </xf>
    <xf numFmtId="193" fontId="70" fillId="0" borderId="29" xfId="0" applyNumberFormat="1" applyFont="1" applyFill="1" applyBorder="1" applyAlignment="1">
      <alignment horizontal="center" vertical="center"/>
    </xf>
    <xf numFmtId="189" fontId="70" fillId="0" borderId="6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2" fontId="70" fillId="0" borderId="0" xfId="0" applyNumberFormat="1" applyFont="1" applyFill="1" applyAlignment="1">
      <alignment vertical="center"/>
    </xf>
    <xf numFmtId="0" fontId="71" fillId="0" borderId="38" xfId="0" applyFont="1" applyFill="1" applyBorder="1" applyAlignment="1">
      <alignment vertical="center" wrapText="1"/>
    </xf>
    <xf numFmtId="189" fontId="71" fillId="0" borderId="63" xfId="0" applyNumberFormat="1" applyFont="1" applyFill="1" applyBorder="1" applyAlignment="1">
      <alignment horizontal="center" vertical="center"/>
    </xf>
    <xf numFmtId="188" fontId="71" fillId="0" borderId="0" xfId="0" applyNumberFormat="1" applyFont="1" applyFill="1" applyAlignment="1">
      <alignment vertical="center"/>
    </xf>
    <xf numFmtId="2" fontId="71" fillId="0" borderId="0" xfId="0" applyNumberFormat="1" applyFont="1" applyFill="1" applyAlignment="1">
      <alignment vertical="center"/>
    </xf>
    <xf numFmtId="189" fontId="70" fillId="0" borderId="28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vertical="center" wrapText="1"/>
    </xf>
    <xf numFmtId="189" fontId="71" fillId="0" borderId="16" xfId="0" applyNumberFormat="1" applyFont="1" applyFill="1" applyBorder="1" applyAlignment="1">
      <alignment horizontal="center" vertical="center"/>
    </xf>
    <xf numFmtId="189" fontId="71" fillId="0" borderId="16" xfId="57" applyNumberFormat="1" applyFont="1" applyFill="1" applyBorder="1" applyAlignment="1">
      <alignment horizontal="center" vertical="center"/>
    </xf>
    <xf numFmtId="193" fontId="71" fillId="0" borderId="23" xfId="0" applyNumberFormat="1" applyFont="1" applyFill="1" applyBorder="1" applyAlignment="1">
      <alignment horizontal="center" vertical="center"/>
    </xf>
    <xf numFmtId="189" fontId="71" fillId="0" borderId="53" xfId="0" applyNumberFormat="1" applyFont="1" applyFill="1" applyBorder="1" applyAlignment="1">
      <alignment horizontal="center" vertical="center"/>
    </xf>
    <xf numFmtId="189" fontId="71" fillId="0" borderId="13" xfId="57" applyNumberFormat="1" applyFont="1" applyFill="1" applyBorder="1" applyAlignment="1">
      <alignment horizontal="center" vertical="center"/>
    </xf>
    <xf numFmtId="49" fontId="71" fillId="0" borderId="38" xfId="0" applyNumberFormat="1" applyFont="1" applyFill="1" applyBorder="1" applyAlignment="1">
      <alignment vertical="center" wrapText="1"/>
    </xf>
    <xf numFmtId="189" fontId="71" fillId="0" borderId="20" xfId="57" applyNumberFormat="1" applyFont="1" applyFill="1" applyBorder="1" applyAlignment="1">
      <alignment horizontal="center" vertical="center"/>
    </xf>
    <xf numFmtId="189" fontId="70" fillId="0" borderId="53" xfId="0" applyNumberFormat="1" applyFont="1" applyFill="1" applyBorder="1" applyAlignment="1">
      <alignment horizontal="center" vertical="center"/>
    </xf>
    <xf numFmtId="189" fontId="71" fillId="0" borderId="13" xfId="0" applyNumberFormat="1" applyFont="1" applyFill="1" applyBorder="1" applyAlignment="1">
      <alignment horizontal="right" vertical="center"/>
    </xf>
    <xf numFmtId="188" fontId="71" fillId="0" borderId="47" xfId="0" applyNumberFormat="1" applyFont="1" applyFill="1" applyBorder="1" applyAlignment="1">
      <alignment horizontal="right" vertical="center"/>
    </xf>
    <xf numFmtId="189" fontId="71" fillId="0" borderId="47" xfId="57" applyNumberFormat="1" applyFont="1" applyFill="1" applyBorder="1" applyAlignment="1">
      <alignment horizontal="right" vertical="center"/>
    </xf>
    <xf numFmtId="189" fontId="71" fillId="0" borderId="47" xfId="0" applyNumberFormat="1" applyFont="1" applyFill="1" applyBorder="1" applyAlignment="1">
      <alignment horizontal="right" vertical="center"/>
    </xf>
    <xf numFmtId="189" fontId="71" fillId="0" borderId="14" xfId="0" applyNumberFormat="1" applyFont="1" applyFill="1" applyBorder="1" applyAlignment="1">
      <alignment horizontal="right" vertical="center"/>
    </xf>
    <xf numFmtId="193" fontId="71" fillId="0" borderId="14" xfId="0" applyNumberFormat="1" applyFont="1" applyFill="1" applyBorder="1" applyAlignment="1">
      <alignment horizontal="right" vertical="center"/>
    </xf>
    <xf numFmtId="189" fontId="71" fillId="0" borderId="20" xfId="0" applyNumberFormat="1" applyFont="1" applyFill="1" applyBorder="1" applyAlignment="1">
      <alignment horizontal="right" vertical="center"/>
    </xf>
    <xf numFmtId="189" fontId="71" fillId="0" borderId="67" xfId="0" applyNumberFormat="1" applyFont="1" applyFill="1" applyBorder="1" applyAlignment="1">
      <alignment horizontal="right" vertical="center"/>
    </xf>
    <xf numFmtId="189" fontId="71" fillId="0" borderId="71" xfId="0" applyNumberFormat="1" applyFont="1" applyFill="1" applyBorder="1" applyAlignment="1">
      <alignment horizontal="right" vertical="center"/>
    </xf>
    <xf numFmtId="189" fontId="71" fillId="0" borderId="67" xfId="57" applyNumberFormat="1" applyFont="1" applyFill="1" applyBorder="1" applyAlignment="1">
      <alignment horizontal="right" vertical="center"/>
    </xf>
    <xf numFmtId="193" fontId="71" fillId="0" borderId="21" xfId="0" applyNumberFormat="1" applyFont="1" applyFill="1" applyBorder="1" applyAlignment="1">
      <alignment horizontal="right" vertical="center"/>
    </xf>
    <xf numFmtId="189" fontId="70" fillId="0" borderId="27" xfId="0" applyNumberFormat="1" applyFont="1" applyFill="1" applyBorder="1" applyAlignment="1">
      <alignment horizontal="right" vertical="center"/>
    </xf>
    <xf numFmtId="189" fontId="70" fillId="0" borderId="28" xfId="57" applyNumberFormat="1" applyFont="1" applyFill="1" applyBorder="1" applyAlignment="1">
      <alignment horizontal="right" vertical="center"/>
    </xf>
    <xf numFmtId="193" fontId="70" fillId="0" borderId="29" xfId="0" applyNumberFormat="1" applyFont="1" applyFill="1" applyBorder="1" applyAlignment="1">
      <alignment horizontal="right" vertical="center"/>
    </xf>
    <xf numFmtId="188" fontId="71" fillId="0" borderId="27" xfId="0" applyNumberFormat="1" applyFont="1" applyFill="1" applyBorder="1" applyAlignment="1">
      <alignment horizontal="right" vertical="center"/>
    </xf>
    <xf numFmtId="188" fontId="71" fillId="0" borderId="19" xfId="0" applyNumberFormat="1" applyFont="1" applyFill="1" applyBorder="1" applyAlignment="1">
      <alignment horizontal="right" vertical="center"/>
    </xf>
    <xf numFmtId="189" fontId="71" fillId="0" borderId="19" xfId="0" applyNumberFormat="1" applyFont="1" applyFill="1" applyBorder="1" applyAlignment="1">
      <alignment horizontal="right" vertical="center"/>
    </xf>
    <xf numFmtId="189" fontId="71" fillId="0" borderId="19" xfId="57" applyNumberFormat="1" applyFont="1" applyFill="1" applyBorder="1" applyAlignment="1">
      <alignment horizontal="right" vertical="center"/>
    </xf>
    <xf numFmtId="189" fontId="71" fillId="0" borderId="27" xfId="0" applyNumberFormat="1" applyFont="1" applyFill="1" applyBorder="1" applyAlignment="1">
      <alignment horizontal="right" vertical="center"/>
    </xf>
    <xf numFmtId="193" fontId="71" fillId="0" borderId="29" xfId="0" applyNumberFormat="1" applyFont="1" applyFill="1" applyBorder="1" applyAlignment="1">
      <alignment horizontal="right" vertical="center"/>
    </xf>
    <xf numFmtId="189" fontId="70" fillId="0" borderId="75" xfId="57" applyNumberFormat="1" applyFont="1" applyFill="1" applyBorder="1" applyAlignment="1">
      <alignment horizontal="right" vertical="center"/>
    </xf>
    <xf numFmtId="189" fontId="70" fillId="0" borderId="28" xfId="0" applyNumberFormat="1" applyFont="1" applyFill="1" applyBorder="1" applyAlignment="1">
      <alignment horizontal="right" vertical="center"/>
    </xf>
    <xf numFmtId="189" fontId="71" fillId="0" borderId="16" xfId="0" applyNumberFormat="1" applyFont="1" applyFill="1" applyBorder="1" applyAlignment="1">
      <alignment horizontal="right" vertical="center"/>
    </xf>
    <xf numFmtId="193" fontId="71" fillId="0" borderId="23" xfId="0" applyNumberFormat="1" applyFont="1" applyFill="1" applyBorder="1" applyAlignment="1">
      <alignment horizontal="right" vertical="center"/>
    </xf>
    <xf numFmtId="189" fontId="71" fillId="0" borderId="66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192" fontId="0" fillId="0" borderId="13" xfId="0" applyNumberFormat="1" applyFont="1" applyFill="1" applyBorder="1" applyAlignment="1">
      <alignment horizontal="center" vertical="center"/>
    </xf>
    <xf numFmtId="188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189" fontId="0" fillId="0" borderId="0" xfId="0" applyNumberFormat="1" applyFont="1" applyFill="1" applyAlignment="1">
      <alignment vertical="center"/>
    </xf>
    <xf numFmtId="49" fontId="0" fillId="0" borderId="25" xfId="0" applyNumberFormat="1" applyFont="1" applyFill="1" applyBorder="1" applyAlignment="1">
      <alignment vertical="center" wrapText="1"/>
    </xf>
    <xf numFmtId="189" fontId="0" fillId="0" borderId="13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 wrapText="1"/>
    </xf>
    <xf numFmtId="192" fontId="0" fillId="0" borderId="13" xfId="0" applyNumberFormat="1" applyFont="1" applyFill="1" applyBorder="1" applyAlignment="1">
      <alignment horizontal="center" vertical="center"/>
    </xf>
    <xf numFmtId="192" fontId="1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188" fontId="0" fillId="0" borderId="0" xfId="0" applyNumberFormat="1" applyFont="1" applyFill="1" applyAlignment="1">
      <alignment vertical="center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 vertical="center"/>
    </xf>
    <xf numFmtId="192" fontId="0" fillId="0" borderId="2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192" fontId="1" fillId="0" borderId="21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192" fontId="1" fillId="0" borderId="35" xfId="0" applyNumberFormat="1" applyFont="1" applyFill="1" applyBorder="1" applyAlignment="1">
      <alignment horizontal="center" vertical="center"/>
    </xf>
    <xf numFmtId="192" fontId="1" fillId="0" borderId="40" xfId="0" applyNumberFormat="1" applyFont="1" applyFill="1" applyBorder="1" applyAlignment="1">
      <alignment horizontal="center" vertical="center"/>
    </xf>
    <xf numFmtId="192" fontId="1" fillId="0" borderId="66" xfId="0" applyNumberFormat="1" applyFont="1" applyFill="1" applyBorder="1" applyAlignment="1">
      <alignment horizontal="center" vertical="center"/>
    </xf>
    <xf numFmtId="192" fontId="1" fillId="0" borderId="73" xfId="0" applyNumberFormat="1" applyFont="1" applyFill="1" applyBorder="1" applyAlignment="1">
      <alignment horizontal="center" vertical="center"/>
    </xf>
    <xf numFmtId="19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92" fontId="1" fillId="0" borderId="13" xfId="0" applyNumberFormat="1" applyFont="1" applyFill="1" applyBorder="1" applyAlignment="1">
      <alignment horizontal="right" vertical="center" wrapText="1"/>
    </xf>
    <xf numFmtId="192" fontId="1" fillId="0" borderId="13" xfId="0" applyNumberFormat="1" applyFont="1" applyFill="1" applyBorder="1" applyAlignment="1">
      <alignment horizontal="right" vertical="center"/>
    </xf>
    <xf numFmtId="192" fontId="1" fillId="0" borderId="14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 wrapText="1"/>
    </xf>
    <xf numFmtId="192" fontId="0" fillId="0" borderId="13" xfId="0" applyNumberFormat="1" applyFont="1" applyFill="1" applyBorder="1" applyAlignment="1">
      <alignment horizontal="right" vertical="center"/>
    </xf>
    <xf numFmtId="192" fontId="0" fillId="0" borderId="14" xfId="0" applyNumberFormat="1" applyFont="1" applyFill="1" applyBorder="1" applyAlignment="1">
      <alignment horizontal="right" vertical="center"/>
    </xf>
    <xf numFmtId="192" fontId="1" fillId="0" borderId="35" xfId="0" applyNumberFormat="1" applyFont="1" applyFill="1" applyBorder="1" applyAlignment="1">
      <alignment horizontal="right" vertical="center"/>
    </xf>
    <xf numFmtId="188" fontId="0" fillId="0" borderId="14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92" fontId="12" fillId="0" borderId="13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188" fontId="15" fillId="0" borderId="13" xfId="0" applyNumberFormat="1" applyFont="1" applyFill="1" applyBorder="1" applyAlignment="1">
      <alignment horizontal="center" vertical="center"/>
    </xf>
    <xf numFmtId="188" fontId="15" fillId="0" borderId="14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 vertical="center"/>
    </xf>
    <xf numFmtId="0" fontId="15" fillId="0" borderId="42" xfId="0" applyFont="1" applyFill="1" applyBorder="1" applyAlignment="1">
      <alignment horizontal="left" vertical="center" wrapText="1"/>
    </xf>
    <xf numFmtId="188" fontId="76" fillId="0" borderId="13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left" vertical="center" wrapText="1"/>
    </xf>
    <xf numFmtId="188" fontId="5" fillId="0" borderId="32" xfId="0" applyNumberFormat="1" applyFont="1" applyFill="1" applyBorder="1" applyAlignment="1">
      <alignment horizontal="center" vertical="center"/>
    </xf>
    <xf numFmtId="188" fontId="5" fillId="0" borderId="76" xfId="0" applyNumberFormat="1" applyFont="1" applyFill="1" applyBorder="1" applyAlignment="1">
      <alignment horizontal="center" vertical="center"/>
    </xf>
    <xf numFmtId="188" fontId="5" fillId="0" borderId="32" xfId="0" applyNumberFormat="1" applyFont="1" applyFill="1" applyBorder="1" applyAlignment="1">
      <alignment horizontal="right" vertical="center"/>
    </xf>
    <xf numFmtId="188" fontId="15" fillId="0" borderId="16" xfId="0" applyNumberFormat="1" applyFont="1" applyFill="1" applyBorder="1" applyAlignment="1">
      <alignment horizontal="right" vertical="center"/>
    </xf>
    <xf numFmtId="188" fontId="15" fillId="0" borderId="13" xfId="0" applyNumberFormat="1" applyFont="1" applyFill="1" applyBorder="1" applyAlignment="1">
      <alignment horizontal="right" vertical="center"/>
    </xf>
    <xf numFmtId="188" fontId="76" fillId="0" borderId="13" xfId="0" applyNumberFormat="1" applyFont="1" applyFill="1" applyBorder="1" applyAlignment="1">
      <alignment horizontal="right" vertical="center"/>
    </xf>
    <xf numFmtId="188" fontId="76" fillId="0" borderId="16" xfId="0" applyNumberFormat="1" applyFont="1" applyFill="1" applyBorder="1" applyAlignment="1">
      <alignment horizontal="right" vertical="center"/>
    </xf>
    <xf numFmtId="188" fontId="15" fillId="0" borderId="23" xfId="0" applyNumberFormat="1" applyFont="1" applyFill="1" applyBorder="1" applyAlignment="1">
      <alignment horizontal="right" vertical="center"/>
    </xf>
    <xf numFmtId="188" fontId="15" fillId="0" borderId="14" xfId="0" applyNumberFormat="1" applyFont="1" applyFill="1" applyBorder="1" applyAlignment="1">
      <alignment horizontal="right" vertical="center"/>
    </xf>
    <xf numFmtId="188" fontId="5" fillId="0" borderId="27" xfId="0" applyNumberFormat="1" applyFont="1" applyFill="1" applyBorder="1" applyAlignment="1">
      <alignment horizontal="right" vertical="center"/>
    </xf>
    <xf numFmtId="188" fontId="5" fillId="0" borderId="28" xfId="0" applyNumberFormat="1" applyFont="1" applyFill="1" applyBorder="1" applyAlignment="1">
      <alignment horizontal="right" vertical="center"/>
    </xf>
    <xf numFmtId="188" fontId="5" fillId="0" borderId="2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 wrapText="1"/>
    </xf>
    <xf numFmtId="188" fontId="0" fillId="0" borderId="42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8" fontId="0" fillId="0" borderId="15" xfId="0" applyNumberFormat="1" applyFont="1" applyFill="1" applyBorder="1" applyAlignment="1">
      <alignment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68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0" fillId="0" borderId="6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188" fontId="1" fillId="0" borderId="18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188" fontId="0" fillId="0" borderId="18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188" fontId="0" fillId="0" borderId="25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188" fontId="1" fillId="0" borderId="26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69" xfId="0" applyNumberFormat="1" applyFont="1" applyFill="1" applyBorder="1" applyAlignment="1">
      <alignment horizontal="right" vertical="center"/>
    </xf>
    <xf numFmtId="188" fontId="0" fillId="0" borderId="20" xfId="0" applyNumberFormat="1" applyFont="1" applyFill="1" applyBorder="1" applyAlignment="1">
      <alignment horizontal="right" vertical="center"/>
    </xf>
    <xf numFmtId="188" fontId="25" fillId="0" borderId="13" xfId="0" applyNumberFormat="1" applyFont="1" applyFill="1" applyBorder="1" applyAlignment="1">
      <alignment horizontal="right" vertical="center"/>
    </xf>
    <xf numFmtId="188" fontId="25" fillId="0" borderId="69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1" fillId="0" borderId="16" xfId="0" applyNumberFormat="1" applyFont="1" applyFill="1" applyBorder="1" applyAlignment="1">
      <alignment horizontal="right" vertical="center"/>
    </xf>
    <xf numFmtId="188" fontId="0" fillId="0" borderId="5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88" fontId="0" fillId="0" borderId="68" xfId="0" applyNumberFormat="1" applyFont="1" applyFill="1" applyBorder="1" applyAlignment="1">
      <alignment horizontal="right" vertical="center"/>
    </xf>
    <xf numFmtId="189" fontId="69" fillId="0" borderId="13" xfId="0" applyNumberFormat="1" applyFont="1" applyFill="1" applyBorder="1" applyAlignment="1">
      <alignment horizontal="right" vertical="center"/>
    </xf>
    <xf numFmtId="189" fontId="69" fillId="0" borderId="20" xfId="0" applyNumberFormat="1" applyFont="1" applyFill="1" applyBorder="1" applyAlignment="1">
      <alignment horizontal="right" vertical="center"/>
    </xf>
    <xf numFmtId="189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9" fontId="1" fillId="0" borderId="27" xfId="0" applyNumberFormat="1" applyFont="1" applyFill="1" applyBorder="1" applyAlignment="1">
      <alignment horizontal="right" vertical="center"/>
    </xf>
    <xf numFmtId="188" fontId="0" fillId="0" borderId="14" xfId="0" applyNumberFormat="1" applyFont="1" applyFill="1" applyBorder="1" applyAlignment="1">
      <alignment horizontal="right" vertical="center"/>
    </xf>
    <xf numFmtId="188" fontId="69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88" fontId="1" fillId="0" borderId="13" xfId="0" applyNumberFormat="1" applyFont="1" applyFill="1" applyBorder="1" applyAlignment="1">
      <alignment horizontal="right" vertical="center"/>
    </xf>
    <xf numFmtId="188" fontId="1" fillId="0" borderId="68" xfId="0" applyNumberFormat="1" applyFont="1" applyFill="1" applyBorder="1" applyAlignment="1">
      <alignment horizontal="right" vertical="center"/>
    </xf>
    <xf numFmtId="189" fontId="1" fillId="0" borderId="27" xfId="0" applyNumberFormat="1" applyFont="1" applyFill="1" applyBorder="1" applyAlignment="1">
      <alignment vertical="center"/>
    </xf>
    <xf numFmtId="189" fontId="0" fillId="0" borderId="15" xfId="0" applyNumberFormat="1" applyFill="1" applyBorder="1" applyAlignment="1">
      <alignment horizontal="left" vertical="center"/>
    </xf>
    <xf numFmtId="189" fontId="0" fillId="0" borderId="16" xfId="0" applyNumberFormat="1" applyFill="1" applyBorder="1" applyAlignment="1">
      <alignment vertical="center"/>
    </xf>
    <xf numFmtId="189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89" fontId="0" fillId="0" borderId="15" xfId="0" applyNumberFormat="1" applyFill="1" applyBorder="1" applyAlignment="1">
      <alignment horizontal="left" vertical="center" wrapText="1"/>
    </xf>
    <xf numFmtId="193" fontId="0" fillId="0" borderId="0" xfId="0" applyNumberFormat="1" applyFill="1" applyAlignment="1">
      <alignment vertical="center"/>
    </xf>
    <xf numFmtId="189" fontId="0" fillId="0" borderId="20" xfId="0" applyNumberFormat="1" applyFill="1" applyBorder="1" applyAlignment="1">
      <alignment vertical="center"/>
    </xf>
    <xf numFmtId="189" fontId="0" fillId="0" borderId="38" xfId="0" applyNumberForma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189" fontId="1" fillId="0" borderId="27" xfId="0" applyNumberFormat="1" applyFont="1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194" fontId="0" fillId="0" borderId="0" xfId="0" applyNumberFormat="1" applyFill="1" applyAlignment="1">
      <alignment vertical="center"/>
    </xf>
    <xf numFmtId="195" fontId="0" fillId="0" borderId="0" xfId="0" applyNumberFormat="1" applyFill="1" applyAlignment="1">
      <alignment vertical="center"/>
    </xf>
    <xf numFmtId="189" fontId="0" fillId="0" borderId="13" xfId="0" applyNumberFormat="1" applyFont="1" applyFill="1" applyBorder="1" applyAlignment="1">
      <alignment vertical="center"/>
    </xf>
    <xf numFmtId="189" fontId="1" fillId="0" borderId="13" xfId="0" applyNumberFormat="1" applyFont="1" applyFill="1" applyBorder="1" applyAlignment="1">
      <alignment vertical="center"/>
    </xf>
    <xf numFmtId="189" fontId="1" fillId="35" borderId="13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189" fontId="0" fillId="35" borderId="13" xfId="0" applyNumberFormat="1" applyFill="1" applyBorder="1" applyAlignment="1">
      <alignment vertical="center"/>
    </xf>
    <xf numFmtId="189" fontId="0" fillId="0" borderId="13" xfId="0" applyNumberFormat="1" applyFont="1" applyFill="1" applyBorder="1" applyAlignment="1">
      <alignment vertical="center"/>
    </xf>
    <xf numFmtId="189" fontId="0" fillId="35" borderId="66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89" fontId="0" fillId="0" borderId="66" xfId="0" applyNumberFormat="1" applyFill="1" applyBorder="1" applyAlignment="1">
      <alignment vertical="center"/>
    </xf>
    <xf numFmtId="189" fontId="0" fillId="35" borderId="66" xfId="0" applyNumberFormat="1" applyFill="1" applyBorder="1" applyAlignment="1">
      <alignment vertical="center"/>
    </xf>
    <xf numFmtId="189" fontId="1" fillId="0" borderId="52" xfId="0" applyNumberFormat="1" applyFont="1" applyFill="1" applyBorder="1" applyAlignment="1">
      <alignment vertical="center"/>
    </xf>
    <xf numFmtId="189" fontId="1" fillId="35" borderId="0" xfId="0" applyNumberFormat="1" applyFont="1" applyFill="1" applyBorder="1" applyAlignment="1">
      <alignment vertical="center"/>
    </xf>
    <xf numFmtId="189" fontId="1" fillId="0" borderId="77" xfId="0" applyNumberFormat="1" applyFont="1" applyFill="1" applyBorder="1" applyAlignment="1">
      <alignment vertical="center"/>
    </xf>
    <xf numFmtId="189" fontId="1" fillId="0" borderId="13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9" fontId="1" fillId="35" borderId="52" xfId="0" applyNumberFormat="1" applyFont="1" applyFill="1" applyBorder="1" applyAlignment="1">
      <alignment vertical="center"/>
    </xf>
    <xf numFmtId="189" fontId="1" fillId="0" borderId="52" xfId="0" applyNumberFormat="1" applyFont="1" applyFill="1" applyBorder="1" applyAlignment="1">
      <alignment vertical="center"/>
    </xf>
    <xf numFmtId="189" fontId="1" fillId="35" borderId="78" xfId="0" applyNumberFormat="1" applyFont="1" applyFill="1" applyBorder="1" applyAlignment="1">
      <alignment vertical="center"/>
    </xf>
    <xf numFmtId="189" fontId="1" fillId="35" borderId="13" xfId="0" applyNumberFormat="1" applyFont="1" applyFill="1" applyBorder="1" applyAlignment="1">
      <alignment vertical="center"/>
    </xf>
    <xf numFmtId="189" fontId="1" fillId="0" borderId="20" xfId="0" applyNumberFormat="1" applyFont="1" applyFill="1" applyBorder="1" applyAlignment="1">
      <alignment vertical="center"/>
    </xf>
    <xf numFmtId="189" fontId="1" fillId="0" borderId="20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189" fontId="0" fillId="0" borderId="75" xfId="0" applyNumberFormat="1" applyFill="1" applyBorder="1" applyAlignment="1">
      <alignment vertical="center"/>
    </xf>
    <xf numFmtId="192" fontId="0" fillId="0" borderId="16" xfId="0" applyNumberFormat="1" applyFont="1" applyFill="1" applyBorder="1" applyAlignment="1">
      <alignment horizontal="right" vertical="center"/>
    </xf>
    <xf numFmtId="192" fontId="0" fillId="0" borderId="79" xfId="0" applyNumberFormat="1" applyFont="1" applyFill="1" applyBorder="1" applyAlignment="1">
      <alignment horizontal="right" vertical="center"/>
    </xf>
    <xf numFmtId="192" fontId="0" fillId="0" borderId="14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2" fontId="1" fillId="0" borderId="36" xfId="0" applyNumberFormat="1" applyFont="1" applyFill="1" applyBorder="1" applyAlignment="1">
      <alignment horizontal="right" vertical="center"/>
    </xf>
    <xf numFmtId="192" fontId="1" fillId="0" borderId="75" xfId="0" applyNumberFormat="1" applyFont="1" applyFill="1" applyBorder="1" applyAlignment="1">
      <alignment horizontal="right" vertical="center"/>
    </xf>
    <xf numFmtId="192" fontId="0" fillId="0" borderId="16" xfId="0" applyNumberFormat="1" applyFont="1" applyFill="1" applyBorder="1" applyAlignment="1">
      <alignment horizontal="right" vertical="center"/>
    </xf>
    <xf numFmtId="192" fontId="0" fillId="0" borderId="23" xfId="0" applyNumberFormat="1" applyFont="1" applyFill="1" applyBorder="1" applyAlignment="1">
      <alignment horizontal="right" vertical="center"/>
    </xf>
    <xf numFmtId="192" fontId="69" fillId="0" borderId="13" xfId="0" applyNumberFormat="1" applyFont="1" applyFill="1" applyBorder="1" applyAlignment="1">
      <alignment horizontal="right" vertical="center"/>
    </xf>
    <xf numFmtId="192" fontId="69" fillId="35" borderId="13" xfId="0" applyNumberFormat="1" applyFont="1" applyFill="1" applyBorder="1" applyAlignment="1">
      <alignment horizontal="right" vertical="center"/>
    </xf>
    <xf numFmtId="192" fontId="0" fillId="35" borderId="13" xfId="0" applyNumberFormat="1" applyFont="1" applyFill="1" applyBorder="1" applyAlignment="1">
      <alignment horizontal="right" vertical="center"/>
    </xf>
    <xf numFmtId="192" fontId="0" fillId="35" borderId="14" xfId="0" applyNumberFormat="1" applyFont="1" applyFill="1" applyBorder="1" applyAlignment="1">
      <alignment horizontal="right" vertical="center"/>
    </xf>
    <xf numFmtId="192" fontId="0" fillId="35" borderId="13" xfId="0" applyNumberFormat="1" applyFont="1" applyFill="1" applyBorder="1" applyAlignment="1">
      <alignment horizontal="right" vertical="center"/>
    </xf>
    <xf numFmtId="192" fontId="0" fillId="35" borderId="14" xfId="0" applyNumberFormat="1" applyFont="1" applyFill="1" applyBorder="1" applyAlignment="1">
      <alignment horizontal="right" vertical="center"/>
    </xf>
    <xf numFmtId="192" fontId="69" fillId="35" borderId="20" xfId="0" applyNumberFormat="1" applyFont="1" applyFill="1" applyBorder="1" applyAlignment="1">
      <alignment horizontal="right" vertical="center"/>
    </xf>
    <xf numFmtId="192" fontId="0" fillId="35" borderId="20" xfId="0" applyNumberFormat="1" applyFont="1" applyFill="1" applyBorder="1" applyAlignment="1">
      <alignment horizontal="right" vertical="center"/>
    </xf>
    <xf numFmtId="192" fontId="0" fillId="35" borderId="21" xfId="0" applyNumberFormat="1" applyFont="1" applyFill="1" applyBorder="1" applyAlignment="1">
      <alignment horizontal="right" vertical="center"/>
    </xf>
    <xf numFmtId="192" fontId="69" fillId="35" borderId="16" xfId="0" applyNumberFormat="1" applyFont="1" applyFill="1" applyBorder="1" applyAlignment="1">
      <alignment horizontal="right" vertical="center"/>
    </xf>
    <xf numFmtId="192" fontId="0" fillId="35" borderId="16" xfId="0" applyNumberFormat="1" applyFont="1" applyFill="1" applyBorder="1" applyAlignment="1">
      <alignment horizontal="right" vertical="center"/>
    </xf>
    <xf numFmtId="192" fontId="0" fillId="35" borderId="23" xfId="0" applyNumberFormat="1" applyFont="1" applyFill="1" applyBorder="1" applyAlignment="1">
      <alignment horizontal="right" vertical="center"/>
    </xf>
    <xf numFmtId="192" fontId="69" fillId="35" borderId="66" xfId="0" applyNumberFormat="1" applyFont="1" applyFill="1" applyBorder="1" applyAlignment="1">
      <alignment horizontal="right" vertical="center"/>
    </xf>
    <xf numFmtId="192" fontId="0" fillId="35" borderId="66" xfId="0" applyNumberFormat="1" applyFont="1" applyFill="1" applyBorder="1" applyAlignment="1">
      <alignment horizontal="right" vertical="center"/>
    </xf>
    <xf numFmtId="192" fontId="0" fillId="35" borderId="73" xfId="0" applyNumberFormat="1" applyFont="1" applyFill="1" applyBorder="1" applyAlignment="1">
      <alignment horizontal="right" vertical="center"/>
    </xf>
    <xf numFmtId="192" fontId="0" fillId="0" borderId="66" xfId="0" applyNumberFormat="1" applyFont="1" applyFill="1" applyBorder="1" applyAlignment="1">
      <alignment horizontal="right" vertical="center"/>
    </xf>
    <xf numFmtId="192" fontId="0" fillId="0" borderId="23" xfId="0" applyNumberFormat="1" applyFont="1" applyFill="1" applyBorder="1" applyAlignment="1">
      <alignment horizontal="right" vertical="center"/>
    </xf>
    <xf numFmtId="192" fontId="0" fillId="0" borderId="20" xfId="0" applyNumberFormat="1" applyFont="1" applyFill="1" applyBorder="1" applyAlignment="1">
      <alignment horizontal="right" vertical="center"/>
    </xf>
    <xf numFmtId="192" fontId="0" fillId="35" borderId="66" xfId="0" applyNumberFormat="1" applyFont="1" applyFill="1" applyBorder="1" applyAlignment="1">
      <alignment horizontal="right" vertical="center"/>
    </xf>
    <xf numFmtId="192" fontId="0" fillId="35" borderId="20" xfId="0" applyNumberFormat="1" applyFont="1" applyFill="1" applyBorder="1" applyAlignment="1">
      <alignment horizontal="right" vertical="center"/>
    </xf>
    <xf numFmtId="192" fontId="0" fillId="0" borderId="20" xfId="0" applyNumberFormat="1" applyFont="1" applyFill="1" applyBorder="1" applyAlignment="1">
      <alignment horizontal="right" vertical="center"/>
    </xf>
    <xf numFmtId="192" fontId="0" fillId="0" borderId="21" xfId="0" applyNumberFormat="1" applyFont="1" applyFill="1" applyBorder="1" applyAlignment="1">
      <alignment horizontal="right" vertical="center"/>
    </xf>
    <xf numFmtId="192" fontId="0" fillId="0" borderId="21" xfId="0" applyNumberFormat="1" applyFont="1" applyFill="1" applyBorder="1" applyAlignment="1">
      <alignment horizontal="right" vertical="center"/>
    </xf>
    <xf numFmtId="192" fontId="69" fillId="0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4;&#1110;&#1090;_&#1079;%20&#1074;&#1080;&#1082;.%20&#1079;&#1072;%202010%20&#1088;&#1110;&#1082;%20&#1085;&#1072;%20&#1082;&#1086;&#1083;&#1083;&#1077;&#107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VITI\ZVIT\2018\&#1054;&#1073;&#1083;&#1072;&#1089;&#1085;&#1086;&#1081;%20&#1056;&#1110;&#1082;\Z2R_221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VITI\ZVIT\2018\&#1054;&#1073;&#1083;&#1072;&#1089;&#1085;&#1086;&#1081;%20&#1056;&#1110;&#1082;\Z2R_222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заг"/>
      <sheetName val="Видатки заг"/>
      <sheetName val="кредитование"/>
      <sheetName val="кас зф"/>
      <sheetName val="Дох спец"/>
      <sheetName val="Видатки спец"/>
      <sheetName val="кас 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2R_221S_001"/>
    </sheetNames>
    <sheetDataSet>
      <sheetData sheetId="0">
        <row r="528">
          <cell r="H528">
            <v>91260619.8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2R_222S_001"/>
    </sheetNames>
    <sheetDataSet>
      <sheetData sheetId="0">
        <row r="382">
          <cell r="H382">
            <v>96551764.82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showZeros="0" tabSelected="1" zoomScale="85" zoomScaleNormal="85" zoomScalePageLayoutView="0" workbookViewId="0" topLeftCell="A1">
      <pane xSplit="2" ySplit="7" topLeftCell="C8" activePane="bottomRight" state="frozen"/>
      <selection pane="topLeft" activeCell="D82" sqref="D82"/>
      <selection pane="topRight" activeCell="D82" sqref="D82"/>
      <selection pane="bottomLeft" activeCell="D82" sqref="D82"/>
      <selection pane="bottomRight" activeCell="A5" sqref="A5:A7"/>
    </sheetView>
  </sheetViews>
  <sheetFormatPr defaultColWidth="9.00390625" defaultRowHeight="12.75"/>
  <cols>
    <col min="1" max="1" width="122.625" style="0" customWidth="1"/>
    <col min="2" max="2" width="16.625" style="0" hidden="1" customWidth="1"/>
    <col min="3" max="3" width="16.125" style="0" customWidth="1"/>
    <col min="4" max="4" width="13.625" style="14" customWidth="1"/>
    <col min="5" max="6" width="13.00390625" style="0" customWidth="1"/>
    <col min="7" max="7" width="12.00390625" style="0" customWidth="1"/>
    <col min="8" max="8" width="16.375" style="0" bestFit="1" customWidth="1"/>
    <col min="9" max="9" width="34.875" style="0" customWidth="1"/>
  </cols>
  <sheetData>
    <row r="1" spans="1:7" ht="12.75">
      <c r="A1" s="159" t="s">
        <v>338</v>
      </c>
      <c r="B1" s="159"/>
      <c r="C1" s="159"/>
      <c r="D1" s="159"/>
      <c r="E1" s="159"/>
      <c r="F1" s="159"/>
      <c r="G1" s="159"/>
    </row>
    <row r="2" spans="1:7" ht="12.75" hidden="1">
      <c r="A2" s="159" t="s">
        <v>297</v>
      </c>
      <c r="B2" s="159"/>
      <c r="C2" s="159"/>
      <c r="D2" s="159"/>
      <c r="E2" s="159"/>
      <c r="F2" s="159"/>
      <c r="G2" s="159"/>
    </row>
    <row r="3" spans="1:6" ht="4.5" customHeight="1">
      <c r="A3" s="3"/>
      <c r="B3" s="3"/>
      <c r="C3" s="3"/>
      <c r="D3" s="13"/>
      <c r="E3" s="3"/>
      <c r="F3" s="3"/>
    </row>
    <row r="4" spans="1:9" ht="13.5" thickBot="1">
      <c r="A4" s="166"/>
      <c r="B4" s="167"/>
      <c r="C4" s="167"/>
      <c r="D4" s="166"/>
      <c r="E4" s="167"/>
      <c r="F4" s="6"/>
      <c r="G4" s="8" t="s">
        <v>94</v>
      </c>
      <c r="I4" s="1"/>
    </row>
    <row r="5" spans="1:9" ht="12.75" customHeight="1">
      <c r="A5" s="174" t="s">
        <v>52</v>
      </c>
      <c r="B5" s="9"/>
      <c r="C5" s="177" t="s">
        <v>339</v>
      </c>
      <c r="D5" s="168" t="s">
        <v>2</v>
      </c>
      <c r="E5" s="171" t="s">
        <v>27</v>
      </c>
      <c r="F5" s="160" t="s">
        <v>17</v>
      </c>
      <c r="G5" s="161"/>
      <c r="I5" s="1"/>
    </row>
    <row r="6" spans="1:7" ht="12.75" customHeight="1">
      <c r="A6" s="175"/>
      <c r="B6" s="10"/>
      <c r="C6" s="178"/>
      <c r="D6" s="169"/>
      <c r="E6" s="172"/>
      <c r="F6" s="164" t="s">
        <v>19</v>
      </c>
      <c r="G6" s="162" t="s">
        <v>18</v>
      </c>
    </row>
    <row r="7" spans="1:7" ht="24" customHeight="1" thickBot="1">
      <c r="A7" s="176"/>
      <c r="B7" s="11"/>
      <c r="C7" s="179"/>
      <c r="D7" s="170"/>
      <c r="E7" s="173"/>
      <c r="F7" s="165"/>
      <c r="G7" s="163"/>
    </row>
    <row r="8" spans="1:7" s="561" customFormat="1" ht="12.75">
      <c r="A8" s="629" t="s">
        <v>169</v>
      </c>
      <c r="B8" s="630"/>
      <c r="C8" s="553">
        <v>275361.5</v>
      </c>
      <c r="D8" s="553">
        <v>289643.03536999994</v>
      </c>
      <c r="E8" s="666">
        <f aca="true" t="shared" si="0" ref="E8:E18">IF(C8=0,0,D8/C8*100)</f>
        <v>105.18646774149616</v>
      </c>
      <c r="F8" s="667">
        <f aca="true" t="shared" si="1" ref="F8:F18">D8-C8</f>
        <v>14281.53536999994</v>
      </c>
      <c r="G8" s="668">
        <f aca="true" t="shared" si="2" ref="G8:G18">F8/C8*100</f>
        <v>5.186467741496157</v>
      </c>
    </row>
    <row r="9" spans="1:7" s="561" customFormat="1" ht="12.75">
      <c r="A9" s="629" t="s">
        <v>170</v>
      </c>
      <c r="B9" s="631"/>
      <c r="C9" s="553">
        <v>250.9</v>
      </c>
      <c r="D9" s="553">
        <v>166.52741</v>
      </c>
      <c r="E9" s="666">
        <f t="shared" si="0"/>
        <v>66.37202471104025</v>
      </c>
      <c r="F9" s="669">
        <f t="shared" si="1"/>
        <v>-84.37259</v>
      </c>
      <c r="G9" s="668">
        <f t="shared" si="2"/>
        <v>-33.627975288959746</v>
      </c>
    </row>
    <row r="10" spans="1:9" s="561" customFormat="1" ht="12.75">
      <c r="A10" s="629" t="s">
        <v>171</v>
      </c>
      <c r="B10" s="631"/>
      <c r="C10" s="553">
        <v>20784.2</v>
      </c>
      <c r="D10" s="553">
        <v>26121.764120000003</v>
      </c>
      <c r="E10" s="666">
        <f t="shared" si="0"/>
        <v>125.68087354817604</v>
      </c>
      <c r="F10" s="669">
        <f t="shared" si="1"/>
        <v>5337.564120000003</v>
      </c>
      <c r="G10" s="668">
        <f t="shared" si="2"/>
        <v>25.68087354817603</v>
      </c>
      <c r="I10" s="632"/>
    </row>
    <row r="11" spans="1:7" s="561" customFormat="1" ht="12.75">
      <c r="A11" s="629" t="s">
        <v>238</v>
      </c>
      <c r="B11" s="631"/>
      <c r="C11" s="553">
        <v>14931.4</v>
      </c>
      <c r="D11" s="553">
        <v>9424.648009999999</v>
      </c>
      <c r="E11" s="666">
        <f t="shared" si="0"/>
        <v>63.11965395073469</v>
      </c>
      <c r="F11" s="669">
        <f t="shared" si="1"/>
        <v>-5506.751990000001</v>
      </c>
      <c r="G11" s="668">
        <f t="shared" si="2"/>
        <v>-36.88034604926531</v>
      </c>
    </row>
    <row r="12" spans="1:7" s="561" customFormat="1" ht="12.75">
      <c r="A12" s="629" t="s">
        <v>172</v>
      </c>
      <c r="B12" s="631"/>
      <c r="C12" s="553">
        <v>1810.4</v>
      </c>
      <c r="D12" s="553">
        <v>1622.9250900000002</v>
      </c>
      <c r="E12" s="666">
        <f t="shared" si="0"/>
        <v>89.64455866106938</v>
      </c>
      <c r="F12" s="669">
        <f t="shared" si="1"/>
        <v>-187.4749099999999</v>
      </c>
      <c r="G12" s="668">
        <f t="shared" si="2"/>
        <v>-10.355441338930618</v>
      </c>
    </row>
    <row r="13" spans="1:7" s="561" customFormat="1" ht="12.75">
      <c r="A13" s="629" t="s">
        <v>173</v>
      </c>
      <c r="B13" s="631"/>
      <c r="C13" s="553">
        <v>763</v>
      </c>
      <c r="D13" s="553">
        <v>727.9683</v>
      </c>
      <c r="E13" s="666">
        <f t="shared" si="0"/>
        <v>95.40868938401049</v>
      </c>
      <c r="F13" s="669">
        <f t="shared" si="1"/>
        <v>-35.0317</v>
      </c>
      <c r="G13" s="668">
        <f t="shared" si="2"/>
        <v>-4.591310615989515</v>
      </c>
    </row>
    <row r="14" spans="1:8" s="561" customFormat="1" ht="12.75">
      <c r="A14" s="633" t="s">
        <v>0</v>
      </c>
      <c r="B14" s="631"/>
      <c r="C14" s="553">
        <v>91.1</v>
      </c>
      <c r="D14" s="553">
        <v>127.053</v>
      </c>
      <c r="E14" s="666">
        <f t="shared" si="0"/>
        <v>139.46542261251375</v>
      </c>
      <c r="F14" s="669">
        <f t="shared" si="1"/>
        <v>35.953</v>
      </c>
      <c r="G14" s="668">
        <f t="shared" si="2"/>
        <v>39.46542261251373</v>
      </c>
      <c r="H14" s="634"/>
    </row>
    <row r="15" spans="1:7" s="561" customFormat="1" ht="12.75">
      <c r="A15" s="633" t="s">
        <v>193</v>
      </c>
      <c r="B15" s="631"/>
      <c r="C15" s="553">
        <v>0.8</v>
      </c>
      <c r="D15" s="553">
        <v>0.9813000000000001</v>
      </c>
      <c r="E15" s="666">
        <f t="shared" si="0"/>
        <v>122.66250000000001</v>
      </c>
      <c r="F15" s="669">
        <f t="shared" si="1"/>
        <v>0.18130000000000002</v>
      </c>
      <c r="G15" s="668">
        <f>F15/C15*100</f>
        <v>22.6625</v>
      </c>
    </row>
    <row r="16" spans="1:7" s="561" customFormat="1" ht="12.75">
      <c r="A16" s="633" t="s">
        <v>174</v>
      </c>
      <c r="B16" s="631"/>
      <c r="C16" s="553">
        <v>7</v>
      </c>
      <c r="D16" s="553">
        <v>5.74</v>
      </c>
      <c r="E16" s="666">
        <f t="shared" si="0"/>
        <v>82</v>
      </c>
      <c r="F16" s="669">
        <f t="shared" si="1"/>
        <v>-1.2599999999999998</v>
      </c>
      <c r="G16" s="668">
        <f t="shared" si="2"/>
        <v>-17.999999999999996</v>
      </c>
    </row>
    <row r="17" spans="1:7" s="561" customFormat="1" ht="12.75" customHeight="1">
      <c r="A17" s="629" t="s">
        <v>175</v>
      </c>
      <c r="B17" s="631"/>
      <c r="C17" s="553">
        <v>0.8</v>
      </c>
      <c r="D17" s="553">
        <v>0.78</v>
      </c>
      <c r="E17" s="666">
        <f t="shared" si="0"/>
        <v>97.5</v>
      </c>
      <c r="F17" s="669">
        <f t="shared" si="1"/>
        <v>-0.020000000000000018</v>
      </c>
      <c r="G17" s="668">
        <f t="shared" si="2"/>
        <v>-2.500000000000002</v>
      </c>
    </row>
    <row r="18" spans="1:7" s="561" customFormat="1" ht="12.75">
      <c r="A18" s="629" t="s">
        <v>176</v>
      </c>
      <c r="B18" s="631"/>
      <c r="C18" s="553">
        <v>6.2</v>
      </c>
      <c r="D18" s="553">
        <v>5.46</v>
      </c>
      <c r="E18" s="666">
        <f t="shared" si="0"/>
        <v>88.06451612903226</v>
      </c>
      <c r="F18" s="669">
        <f t="shared" si="1"/>
        <v>-0.7400000000000002</v>
      </c>
      <c r="G18" s="668">
        <f t="shared" si="2"/>
        <v>-11.935483870967744</v>
      </c>
    </row>
    <row r="19" spans="1:7" s="561" customFormat="1" ht="12.75" customHeight="1">
      <c r="A19" s="633" t="s">
        <v>177</v>
      </c>
      <c r="B19" s="631"/>
      <c r="C19" s="553"/>
      <c r="D19" s="553">
        <v>0.112</v>
      </c>
      <c r="E19" s="666"/>
      <c r="F19" s="669">
        <f aca="true" t="shared" si="3" ref="F19:F26">D19-C19</f>
        <v>0.112</v>
      </c>
      <c r="G19" s="668"/>
    </row>
    <row r="20" spans="1:7" s="561" customFormat="1" ht="12.75">
      <c r="A20" s="629" t="s">
        <v>178</v>
      </c>
      <c r="B20" s="631"/>
      <c r="C20" s="553">
        <v>2006.6</v>
      </c>
      <c r="D20" s="553">
        <v>1501.09</v>
      </c>
      <c r="E20" s="666">
        <f aca="true" t="shared" si="4" ref="E20:E26">IF(C20=0,0,D20/C20*100)</f>
        <v>74.80763480514302</v>
      </c>
      <c r="F20" s="669">
        <f t="shared" si="3"/>
        <v>-505.51</v>
      </c>
      <c r="G20" s="668">
        <f aca="true" t="shared" si="5" ref="G20:G26">F20/C20*100</f>
        <v>-25.192365194856976</v>
      </c>
    </row>
    <row r="21" spans="1:7" s="561" customFormat="1" ht="12.75">
      <c r="A21" s="629" t="s">
        <v>179</v>
      </c>
      <c r="B21" s="631"/>
      <c r="C21" s="553">
        <v>9923</v>
      </c>
      <c r="D21" s="553">
        <v>9188.331300000002</v>
      </c>
      <c r="E21" s="666">
        <f t="shared" si="4"/>
        <v>92.59630454499649</v>
      </c>
      <c r="F21" s="669">
        <f t="shared" si="3"/>
        <v>-734.6686999999984</v>
      </c>
      <c r="G21" s="668">
        <f t="shared" si="5"/>
        <v>-7.40369545500351</v>
      </c>
    </row>
    <row r="22" spans="1:7" s="561" customFormat="1" ht="12.75">
      <c r="A22" s="629" t="s">
        <v>127</v>
      </c>
      <c r="B22" s="631"/>
      <c r="C22" s="553">
        <v>382</v>
      </c>
      <c r="D22" s="553">
        <v>297.56765</v>
      </c>
      <c r="E22" s="666">
        <f t="shared" si="4"/>
        <v>77.89729057591623</v>
      </c>
      <c r="F22" s="669">
        <f t="shared" si="3"/>
        <v>-84.43234999999999</v>
      </c>
      <c r="G22" s="668">
        <f t="shared" si="5"/>
        <v>-22.102709424083766</v>
      </c>
    </row>
    <row r="23" spans="1:7" s="561" customFormat="1" ht="13.5" customHeight="1">
      <c r="A23" s="633" t="s">
        <v>180</v>
      </c>
      <c r="B23" s="631"/>
      <c r="C23" s="553">
        <v>1905</v>
      </c>
      <c r="D23" s="553">
        <v>2409.11023</v>
      </c>
      <c r="E23" s="666">
        <f t="shared" si="4"/>
        <v>126.46247926509184</v>
      </c>
      <c r="F23" s="669">
        <f t="shared" si="3"/>
        <v>504.1102299999998</v>
      </c>
      <c r="G23" s="668">
        <f t="shared" si="5"/>
        <v>26.462479265091854</v>
      </c>
    </row>
    <row r="24" spans="1:7" s="561" customFormat="1" ht="15.75" hidden="1">
      <c r="A24" s="140"/>
      <c r="B24" s="635"/>
      <c r="C24" s="553"/>
      <c r="D24" s="553"/>
      <c r="E24" s="666">
        <f t="shared" si="4"/>
        <v>0</v>
      </c>
      <c r="F24" s="669">
        <f t="shared" si="3"/>
        <v>0</v>
      </c>
      <c r="G24" s="668" t="e">
        <f t="shared" si="5"/>
        <v>#DIV/0!</v>
      </c>
    </row>
    <row r="25" spans="1:7" s="561" customFormat="1" ht="12.75">
      <c r="A25" s="633" t="s">
        <v>181</v>
      </c>
      <c r="B25" s="635"/>
      <c r="C25" s="553">
        <v>246.4</v>
      </c>
      <c r="D25" s="553">
        <v>294.15231</v>
      </c>
      <c r="E25" s="666">
        <f t="shared" si="4"/>
        <v>119.37999594155843</v>
      </c>
      <c r="F25" s="669">
        <f t="shared" si="3"/>
        <v>47.752309999999994</v>
      </c>
      <c r="G25" s="668">
        <f t="shared" si="5"/>
        <v>19.37999594155844</v>
      </c>
    </row>
    <row r="26" spans="1:7" s="561" customFormat="1" ht="15" customHeight="1" thickBot="1">
      <c r="A26" s="636" t="s">
        <v>6</v>
      </c>
      <c r="B26" s="635"/>
      <c r="C26" s="553">
        <v>247.2</v>
      </c>
      <c r="D26" s="553">
        <v>350.61347</v>
      </c>
      <c r="E26" s="666">
        <f t="shared" si="4"/>
        <v>141.8339279935275</v>
      </c>
      <c r="F26" s="669">
        <f t="shared" si="3"/>
        <v>103.41347000000002</v>
      </c>
      <c r="G26" s="668">
        <f t="shared" si="5"/>
        <v>41.83392799352752</v>
      </c>
    </row>
    <row r="27" spans="1:7" s="561" customFormat="1" ht="13.5" thickBot="1">
      <c r="A27" s="637" t="s">
        <v>29</v>
      </c>
      <c r="B27" s="638">
        <f>SUM(B8:B25)</f>
        <v>0</v>
      </c>
      <c r="C27" s="670">
        <f>SUM(C8:C26)</f>
        <v>328717.50000000006</v>
      </c>
      <c r="D27" s="670">
        <f>SUM(D8:D26)</f>
        <v>341887.85955999995</v>
      </c>
      <c r="E27" s="670">
        <f>D27/C27*100</f>
        <v>104.00658911071052</v>
      </c>
      <c r="F27" s="671">
        <f>SUM(F8:F26)</f>
        <v>13170.359559999943</v>
      </c>
      <c r="G27" s="670">
        <f>F27/C27*100</f>
        <v>4.0065891107105465</v>
      </c>
    </row>
    <row r="28" spans="1:9" s="561" customFormat="1" ht="12.75">
      <c r="A28" s="135" t="s">
        <v>182</v>
      </c>
      <c r="B28" s="630"/>
      <c r="C28" s="666">
        <v>43629</v>
      </c>
      <c r="D28" s="553">
        <f>C28</f>
        <v>43629</v>
      </c>
      <c r="E28" s="672">
        <f>D28/C28*100</f>
        <v>100</v>
      </c>
      <c r="F28" s="669">
        <f aca="true" t="shared" si="6" ref="F28:F38">D28-C28</f>
        <v>0</v>
      </c>
      <c r="G28" s="673">
        <f>F28/C28*100</f>
        <v>0</v>
      </c>
      <c r="I28" s="639"/>
    </row>
    <row r="29" spans="1:9" s="561" customFormat="1" ht="30" customHeight="1">
      <c r="A29" s="135" t="s">
        <v>287</v>
      </c>
      <c r="B29" s="630"/>
      <c r="C29" s="666">
        <f>C30+C31</f>
        <v>291993.6</v>
      </c>
      <c r="D29" s="666">
        <f>D30+D31</f>
        <v>291993.6</v>
      </c>
      <c r="E29" s="669">
        <f aca="true" t="shared" si="7" ref="E29:E34">D29/C29*100</f>
        <v>100</v>
      </c>
      <c r="F29" s="669">
        <f t="shared" si="6"/>
        <v>0</v>
      </c>
      <c r="G29" s="668">
        <f aca="true" t="shared" si="8" ref="G29:G35">F29/C29*100</f>
        <v>0</v>
      </c>
      <c r="H29" s="640"/>
      <c r="I29" s="639"/>
    </row>
    <row r="30" spans="1:9" s="561" customFormat="1" ht="12.75">
      <c r="A30" s="118" t="s">
        <v>38</v>
      </c>
      <c r="B30" s="630"/>
      <c r="C30" s="666">
        <f>75205.343+72506.208</f>
        <v>147711.55099999998</v>
      </c>
      <c r="D30" s="666">
        <f>C30</f>
        <v>147711.55099999998</v>
      </c>
      <c r="E30" s="669">
        <f t="shared" si="7"/>
        <v>100</v>
      </c>
      <c r="F30" s="669">
        <f t="shared" si="6"/>
        <v>0</v>
      </c>
      <c r="G30" s="668">
        <f t="shared" si="8"/>
        <v>0</v>
      </c>
      <c r="I30" s="639"/>
    </row>
    <row r="31" spans="1:9" s="561" customFormat="1" ht="12.75">
      <c r="A31" s="118" t="s">
        <v>39</v>
      </c>
      <c r="B31" s="630"/>
      <c r="C31" s="666">
        <v>144282.049</v>
      </c>
      <c r="D31" s="666">
        <f>C31</f>
        <v>144282.049</v>
      </c>
      <c r="E31" s="669">
        <f t="shared" si="7"/>
        <v>100</v>
      </c>
      <c r="F31" s="669">
        <f t="shared" si="6"/>
        <v>0</v>
      </c>
      <c r="G31" s="668">
        <f t="shared" si="8"/>
        <v>0</v>
      </c>
      <c r="I31" s="639"/>
    </row>
    <row r="32" spans="1:9" s="561" customFormat="1" ht="12.75">
      <c r="A32" s="120" t="s">
        <v>325</v>
      </c>
      <c r="B32" s="630"/>
      <c r="C32" s="666">
        <f>C33+C34</f>
        <v>13164.5</v>
      </c>
      <c r="D32" s="666">
        <f>D33+D34</f>
        <v>13164.5</v>
      </c>
      <c r="E32" s="669">
        <f t="shared" si="7"/>
        <v>100</v>
      </c>
      <c r="F32" s="669">
        <f t="shared" si="6"/>
        <v>0</v>
      </c>
      <c r="G32" s="668">
        <f t="shared" si="8"/>
        <v>0</v>
      </c>
      <c r="H32" s="641"/>
      <c r="I32" s="639"/>
    </row>
    <row r="33" spans="1:9" s="561" customFormat="1" ht="12.75">
      <c r="A33" s="118" t="s">
        <v>38</v>
      </c>
      <c r="B33" s="630"/>
      <c r="C33" s="666">
        <v>6237.425</v>
      </c>
      <c r="D33" s="666">
        <f>C33</f>
        <v>6237.425</v>
      </c>
      <c r="E33" s="669">
        <f t="shared" si="7"/>
        <v>100</v>
      </c>
      <c r="F33" s="669">
        <f t="shared" si="6"/>
        <v>0</v>
      </c>
      <c r="G33" s="668">
        <f t="shared" si="8"/>
        <v>0</v>
      </c>
      <c r="I33" s="639"/>
    </row>
    <row r="34" spans="1:9" s="561" customFormat="1" ht="12.75">
      <c r="A34" s="118" t="s">
        <v>39</v>
      </c>
      <c r="B34" s="630"/>
      <c r="C34" s="666">
        <v>6927.075</v>
      </c>
      <c r="D34" s="666">
        <f>C34</f>
        <v>6927.075</v>
      </c>
      <c r="E34" s="669">
        <f t="shared" si="7"/>
        <v>100</v>
      </c>
      <c r="F34" s="669">
        <f t="shared" si="6"/>
        <v>0</v>
      </c>
      <c r="G34" s="668">
        <f t="shared" si="8"/>
        <v>0</v>
      </c>
      <c r="I34" s="639"/>
    </row>
    <row r="35" spans="1:7" s="561" customFormat="1" ht="25.5">
      <c r="A35" s="120" t="s">
        <v>234</v>
      </c>
      <c r="B35" s="642"/>
      <c r="C35" s="553">
        <f>C38+C41</f>
        <v>6773.7</v>
      </c>
      <c r="D35" s="553">
        <f>D38+D41</f>
        <v>6773.7</v>
      </c>
      <c r="E35" s="669">
        <f>D35/C35*100</f>
        <v>100</v>
      </c>
      <c r="F35" s="669">
        <f t="shared" si="6"/>
        <v>0</v>
      </c>
      <c r="G35" s="668">
        <f t="shared" si="8"/>
        <v>0</v>
      </c>
    </row>
    <row r="36" spans="1:7" s="561" customFormat="1" ht="12.75" hidden="1">
      <c r="A36" s="120" t="s">
        <v>295</v>
      </c>
      <c r="B36" s="642"/>
      <c r="C36" s="674"/>
      <c r="D36" s="674">
        <f>D39+D42</f>
        <v>0</v>
      </c>
      <c r="E36" s="669"/>
      <c r="F36" s="669">
        <f t="shared" si="6"/>
        <v>0</v>
      </c>
      <c r="G36" s="668"/>
    </row>
    <row r="37" spans="1:7" s="561" customFormat="1" ht="12.75" hidden="1">
      <c r="A37" s="120" t="s">
        <v>296</v>
      </c>
      <c r="B37" s="642"/>
      <c r="C37" s="674"/>
      <c r="D37" s="674">
        <f>D40+D43</f>
        <v>0</v>
      </c>
      <c r="E37" s="669"/>
      <c r="F37" s="669">
        <f t="shared" si="6"/>
        <v>0</v>
      </c>
      <c r="G37" s="668"/>
    </row>
    <row r="38" spans="1:7" s="561" customFormat="1" ht="12.75">
      <c r="A38" s="118" t="s">
        <v>38</v>
      </c>
      <c r="B38" s="643"/>
      <c r="C38" s="553">
        <v>38.2</v>
      </c>
      <c r="D38" s="553">
        <f aca="true" t="shared" si="9" ref="D38:D43">C38</f>
        <v>38.2</v>
      </c>
      <c r="E38" s="669">
        <f>D38/C38*100</f>
        <v>100</v>
      </c>
      <c r="F38" s="669">
        <f t="shared" si="6"/>
        <v>0</v>
      </c>
      <c r="G38" s="668">
        <f>F38/C38*100</f>
        <v>0</v>
      </c>
    </row>
    <row r="39" spans="1:7" s="561" customFormat="1" ht="12.75" hidden="1">
      <c r="A39" s="120" t="s">
        <v>295</v>
      </c>
      <c r="B39" s="643"/>
      <c r="C39" s="553"/>
      <c r="D39" s="553">
        <f t="shared" si="9"/>
        <v>0</v>
      </c>
      <c r="E39" s="669"/>
      <c r="F39" s="669">
        <f aca="true" t="shared" si="10" ref="F39:F44">D39-C39</f>
        <v>0</v>
      </c>
      <c r="G39" s="668"/>
    </row>
    <row r="40" spans="1:7" s="561" customFormat="1" ht="12.75" hidden="1">
      <c r="A40" s="120" t="s">
        <v>296</v>
      </c>
      <c r="B40" s="643"/>
      <c r="C40" s="553"/>
      <c r="D40" s="553">
        <f t="shared" si="9"/>
        <v>0</v>
      </c>
      <c r="E40" s="669"/>
      <c r="F40" s="669">
        <f t="shared" si="10"/>
        <v>0</v>
      </c>
      <c r="G40" s="668"/>
    </row>
    <row r="41" spans="1:7" s="561" customFormat="1" ht="12.75">
      <c r="A41" s="118" t="s">
        <v>39</v>
      </c>
      <c r="B41" s="643"/>
      <c r="C41" s="553">
        <v>6735.5</v>
      </c>
      <c r="D41" s="553">
        <f t="shared" si="9"/>
        <v>6735.5</v>
      </c>
      <c r="E41" s="669">
        <f>D41/C41*100</f>
        <v>100</v>
      </c>
      <c r="F41" s="669">
        <f t="shared" si="10"/>
        <v>0</v>
      </c>
      <c r="G41" s="668">
        <f>F41/C41*100</f>
        <v>0</v>
      </c>
    </row>
    <row r="42" spans="1:7" s="645" customFormat="1" ht="12.75" hidden="1">
      <c r="A42" s="78" t="s">
        <v>295</v>
      </c>
      <c r="B42" s="644"/>
      <c r="C42" s="675"/>
      <c r="D42" s="675">
        <f t="shared" si="9"/>
        <v>0</v>
      </c>
      <c r="E42" s="676"/>
      <c r="F42" s="676">
        <f t="shared" si="10"/>
        <v>0</v>
      </c>
      <c r="G42" s="677"/>
    </row>
    <row r="43" spans="1:7" s="645" customFormat="1" ht="12.75" hidden="1">
      <c r="A43" s="78" t="s">
        <v>296</v>
      </c>
      <c r="B43" s="644"/>
      <c r="C43" s="675"/>
      <c r="D43" s="675">
        <f t="shared" si="9"/>
        <v>0</v>
      </c>
      <c r="E43" s="676"/>
      <c r="F43" s="676">
        <f t="shared" si="10"/>
        <v>0</v>
      </c>
      <c r="G43" s="677"/>
    </row>
    <row r="44" spans="1:7" s="561" customFormat="1" ht="25.5">
      <c r="A44" s="120" t="s">
        <v>103</v>
      </c>
      <c r="B44" s="643"/>
      <c r="C44" s="553">
        <v>528.66</v>
      </c>
      <c r="D44" s="553">
        <v>528.66</v>
      </c>
      <c r="E44" s="669">
        <f>D44/C44*100</f>
        <v>100</v>
      </c>
      <c r="F44" s="669">
        <f t="shared" si="10"/>
        <v>0</v>
      </c>
      <c r="G44" s="668">
        <f>F44/C44*100</f>
        <v>0</v>
      </c>
    </row>
    <row r="45" spans="1:7" s="561" customFormat="1" ht="25.5">
      <c r="A45" s="119" t="s">
        <v>50</v>
      </c>
      <c r="B45" s="643"/>
      <c r="C45" s="553">
        <f>(820114000+341156600+78968700)/1000</f>
        <v>1240239.3</v>
      </c>
      <c r="D45" s="553">
        <f>(762886260+313853289.6+78968700)/1000</f>
        <v>1155708.2496</v>
      </c>
      <c r="E45" s="669">
        <f aca="true" t="shared" si="11" ref="E45:E55">D45/C45*100</f>
        <v>93.18429512756127</v>
      </c>
      <c r="F45" s="669">
        <f>D45-C45</f>
        <v>-84531.05040000007</v>
      </c>
      <c r="G45" s="668">
        <f>F45/C45*100</f>
        <v>-6.815704872438736</v>
      </c>
    </row>
    <row r="46" spans="1:7" s="645" customFormat="1" ht="12.75" hidden="1">
      <c r="A46" s="78" t="s">
        <v>295</v>
      </c>
      <c r="B46" s="644"/>
      <c r="C46" s="675"/>
      <c r="D46" s="675"/>
      <c r="E46" s="676"/>
      <c r="F46" s="676">
        <f>D46-C46</f>
        <v>0</v>
      </c>
      <c r="G46" s="677"/>
    </row>
    <row r="47" spans="1:7" s="645" customFormat="1" ht="12.75" hidden="1">
      <c r="A47" s="78" t="s">
        <v>296</v>
      </c>
      <c r="B47" s="644"/>
      <c r="C47" s="675"/>
      <c r="D47" s="675"/>
      <c r="E47" s="676"/>
      <c r="F47" s="676">
        <f>D47-C47</f>
        <v>0</v>
      </c>
      <c r="G47" s="677"/>
    </row>
    <row r="48" spans="1:7" s="645" customFormat="1" ht="25.5" hidden="1">
      <c r="A48" s="73" t="s">
        <v>211</v>
      </c>
      <c r="B48" s="646"/>
      <c r="C48" s="675"/>
      <c r="D48" s="675"/>
      <c r="E48" s="676" t="e">
        <f t="shared" si="11"/>
        <v>#DIV/0!</v>
      </c>
      <c r="F48" s="676">
        <f>D48-C48</f>
        <v>0</v>
      </c>
      <c r="G48" s="677" t="e">
        <f aca="true" t="shared" si="12" ref="G48:G55">F48/C48*100</f>
        <v>#DIV/0!</v>
      </c>
    </row>
    <row r="49" spans="1:8" s="561" customFormat="1" ht="12.75">
      <c r="A49" s="119" t="s">
        <v>208</v>
      </c>
      <c r="B49" s="631"/>
      <c r="C49" s="553">
        <v>109966.8</v>
      </c>
      <c r="D49" s="553">
        <f>C49</f>
        <v>109966.8</v>
      </c>
      <c r="E49" s="669">
        <f t="shared" si="11"/>
        <v>100</v>
      </c>
      <c r="F49" s="669">
        <f>D49-C49</f>
        <v>0</v>
      </c>
      <c r="G49" s="668">
        <f t="shared" si="12"/>
        <v>0</v>
      </c>
      <c r="H49" s="641"/>
    </row>
    <row r="50" spans="1:8" s="507" customFormat="1" ht="12.75" customHeight="1" hidden="1">
      <c r="A50" s="119" t="s">
        <v>38</v>
      </c>
      <c r="B50" s="647"/>
      <c r="C50" s="553"/>
      <c r="D50" s="674"/>
      <c r="E50" s="553" t="e">
        <f t="shared" si="11"/>
        <v>#DIV/0!</v>
      </c>
      <c r="F50" s="553">
        <f aca="true" t="shared" si="13" ref="F50:F60">D50-C50</f>
        <v>0</v>
      </c>
      <c r="G50" s="554" t="e">
        <f t="shared" si="12"/>
        <v>#DIV/0!</v>
      </c>
      <c r="H50" s="641"/>
    </row>
    <row r="51" spans="1:9" s="507" customFormat="1" ht="12.75" customHeight="1" hidden="1">
      <c r="A51" s="119" t="s">
        <v>39</v>
      </c>
      <c r="B51" s="647"/>
      <c r="C51" s="553"/>
      <c r="D51" s="674"/>
      <c r="E51" s="553" t="e">
        <f t="shared" si="11"/>
        <v>#DIV/0!</v>
      </c>
      <c r="F51" s="553">
        <f t="shared" si="13"/>
        <v>0</v>
      </c>
      <c r="G51" s="554" t="e">
        <f t="shared" si="12"/>
        <v>#DIV/0!</v>
      </c>
      <c r="H51" s="641"/>
      <c r="I51" s="507">
        <v>228015.4</v>
      </c>
    </row>
    <row r="52" spans="1:8" s="561" customFormat="1" ht="12.75">
      <c r="A52" s="119" t="s">
        <v>192</v>
      </c>
      <c r="B52" s="631"/>
      <c r="C52" s="553">
        <v>381258.1</v>
      </c>
      <c r="D52" s="553">
        <f>C52</f>
        <v>381258.1</v>
      </c>
      <c r="E52" s="669">
        <f t="shared" si="11"/>
        <v>100</v>
      </c>
      <c r="F52" s="669">
        <f t="shared" si="13"/>
        <v>0</v>
      </c>
      <c r="G52" s="668">
        <f t="shared" si="12"/>
        <v>0</v>
      </c>
      <c r="H52" s="641"/>
    </row>
    <row r="53" spans="1:7" s="649" customFormat="1" ht="12.75" hidden="1">
      <c r="A53" s="73" t="s">
        <v>38</v>
      </c>
      <c r="B53" s="648"/>
      <c r="C53" s="675"/>
      <c r="D53" s="675">
        <f>C53</f>
        <v>0</v>
      </c>
      <c r="E53" s="678" t="e">
        <f t="shared" si="11"/>
        <v>#DIV/0!</v>
      </c>
      <c r="F53" s="678">
        <f t="shared" si="13"/>
        <v>0</v>
      </c>
      <c r="G53" s="679" t="e">
        <f t="shared" si="12"/>
        <v>#DIV/0!</v>
      </c>
    </row>
    <row r="54" spans="1:7" s="649" customFormat="1" ht="12.75" hidden="1">
      <c r="A54" s="73" t="s">
        <v>39</v>
      </c>
      <c r="B54" s="648"/>
      <c r="C54" s="675"/>
      <c r="D54" s="675">
        <f>C54</f>
        <v>0</v>
      </c>
      <c r="E54" s="678" t="e">
        <f t="shared" si="11"/>
        <v>#DIV/0!</v>
      </c>
      <c r="F54" s="678">
        <f t="shared" si="13"/>
        <v>0</v>
      </c>
      <c r="G54" s="679" t="e">
        <f t="shared" si="12"/>
        <v>#DIV/0!</v>
      </c>
    </row>
    <row r="55" spans="1:7" s="561" customFormat="1" ht="12.75">
      <c r="A55" s="119" t="s">
        <v>260</v>
      </c>
      <c r="B55" s="650"/>
      <c r="C55" s="553">
        <v>11538.5</v>
      </c>
      <c r="D55" s="553">
        <f>C55</f>
        <v>11538.5</v>
      </c>
      <c r="E55" s="669">
        <f t="shared" si="11"/>
        <v>100</v>
      </c>
      <c r="F55" s="669">
        <f t="shared" si="13"/>
        <v>0</v>
      </c>
      <c r="G55" s="668">
        <f t="shared" si="12"/>
        <v>0</v>
      </c>
    </row>
    <row r="56" spans="1:7" s="645" customFormat="1" ht="12.75" hidden="1">
      <c r="A56" s="78" t="s">
        <v>295</v>
      </c>
      <c r="B56" s="651"/>
      <c r="C56" s="675"/>
      <c r="D56" s="675"/>
      <c r="E56" s="676"/>
      <c r="F56" s="676">
        <f t="shared" si="13"/>
        <v>0</v>
      </c>
      <c r="G56" s="677"/>
    </row>
    <row r="57" spans="1:7" s="645" customFormat="1" ht="12.75" hidden="1">
      <c r="A57" s="78" t="s">
        <v>296</v>
      </c>
      <c r="B57" s="651"/>
      <c r="C57" s="675"/>
      <c r="D57" s="675"/>
      <c r="E57" s="676"/>
      <c r="F57" s="676">
        <f t="shared" si="13"/>
        <v>0</v>
      </c>
      <c r="G57" s="677"/>
    </row>
    <row r="58" spans="1:7" s="561" customFormat="1" ht="26.25" thickBot="1">
      <c r="A58" s="119" t="s">
        <v>209</v>
      </c>
      <c r="B58" s="650"/>
      <c r="C58" s="553">
        <v>257.3</v>
      </c>
      <c r="D58" s="553">
        <f>C58</f>
        <v>257.3</v>
      </c>
      <c r="E58" s="669">
        <f>D58/C58*100</f>
        <v>100</v>
      </c>
      <c r="F58" s="669">
        <f t="shared" si="13"/>
        <v>0</v>
      </c>
      <c r="G58" s="668">
        <f>F58/C58*100</f>
        <v>0</v>
      </c>
    </row>
    <row r="59" spans="1:7" s="645" customFormat="1" ht="13.5" hidden="1" thickBot="1">
      <c r="A59" s="100" t="s">
        <v>295</v>
      </c>
      <c r="B59" s="651"/>
      <c r="C59" s="680"/>
      <c r="D59" s="680">
        <f>D62+D65</f>
        <v>0</v>
      </c>
      <c r="E59" s="681"/>
      <c r="F59" s="681">
        <f t="shared" si="13"/>
        <v>0</v>
      </c>
      <c r="G59" s="682"/>
    </row>
    <row r="60" spans="1:7" s="645" customFormat="1" ht="13.5" hidden="1" thickBot="1">
      <c r="A60" s="78" t="s">
        <v>296</v>
      </c>
      <c r="B60" s="646"/>
      <c r="C60" s="675"/>
      <c r="D60" s="675">
        <f>D63+D66</f>
        <v>0</v>
      </c>
      <c r="E60" s="676"/>
      <c r="F60" s="676">
        <f t="shared" si="13"/>
        <v>0</v>
      </c>
      <c r="G60" s="677"/>
    </row>
    <row r="61" spans="1:7" s="645" customFormat="1" ht="13.5" hidden="1" thickBot="1">
      <c r="A61" s="99" t="s">
        <v>38</v>
      </c>
      <c r="B61" s="646"/>
      <c r="C61" s="675"/>
      <c r="D61" s="675"/>
      <c r="E61" s="676" t="e">
        <f>D61/C61*100</f>
        <v>#DIV/0!</v>
      </c>
      <c r="F61" s="676">
        <f aca="true" t="shared" si="14" ref="F61:F67">D61-C61</f>
        <v>0</v>
      </c>
      <c r="G61" s="677" t="e">
        <f>F61/C61*100</f>
        <v>#DIV/0!</v>
      </c>
    </row>
    <row r="62" spans="1:7" s="645" customFormat="1" ht="13.5" hidden="1" thickBot="1">
      <c r="A62" s="78" t="s">
        <v>295</v>
      </c>
      <c r="B62" s="646"/>
      <c r="C62" s="675"/>
      <c r="D62" s="675"/>
      <c r="E62" s="676"/>
      <c r="F62" s="676">
        <f t="shared" si="14"/>
        <v>0</v>
      </c>
      <c r="G62" s="677"/>
    </row>
    <row r="63" spans="1:7" s="645" customFormat="1" ht="13.5" hidden="1" thickBot="1">
      <c r="A63" s="98" t="s">
        <v>296</v>
      </c>
      <c r="B63" s="651"/>
      <c r="C63" s="683"/>
      <c r="D63" s="683"/>
      <c r="E63" s="684"/>
      <c r="F63" s="684">
        <f t="shared" si="14"/>
        <v>0</v>
      </c>
      <c r="G63" s="685"/>
    </row>
    <row r="64" spans="1:7" s="645" customFormat="1" ht="13.5" hidden="1" thickBot="1">
      <c r="A64" s="99" t="s">
        <v>39</v>
      </c>
      <c r="B64" s="651"/>
      <c r="C64" s="675"/>
      <c r="D64" s="675"/>
      <c r="E64" s="676" t="e">
        <f>D64/C64*100</f>
        <v>#DIV/0!</v>
      </c>
      <c r="F64" s="676">
        <f t="shared" si="14"/>
        <v>0</v>
      </c>
      <c r="G64" s="677" t="e">
        <f>F64/C64*100</f>
        <v>#DIV/0!</v>
      </c>
    </row>
    <row r="65" spans="1:7" s="645" customFormat="1" ht="13.5" hidden="1" thickBot="1">
      <c r="A65" s="78" t="s">
        <v>295</v>
      </c>
      <c r="B65" s="651"/>
      <c r="C65" s="675"/>
      <c r="D65" s="675"/>
      <c r="E65" s="676"/>
      <c r="F65" s="676">
        <f t="shared" si="14"/>
        <v>0</v>
      </c>
      <c r="G65" s="677"/>
    </row>
    <row r="66" spans="1:7" s="645" customFormat="1" ht="13.5" hidden="1" thickBot="1">
      <c r="A66" s="78" t="s">
        <v>296</v>
      </c>
      <c r="B66" s="651"/>
      <c r="C66" s="675"/>
      <c r="D66" s="675"/>
      <c r="E66" s="676"/>
      <c r="F66" s="676">
        <f t="shared" si="14"/>
        <v>0</v>
      </c>
      <c r="G66" s="677"/>
    </row>
    <row r="67" spans="1:7" s="561" customFormat="1" ht="26.25" thickBot="1">
      <c r="A67" s="119" t="s">
        <v>147</v>
      </c>
      <c r="B67" s="628">
        <f>SUM(B38:B45)</f>
        <v>0</v>
      </c>
      <c r="C67" s="553">
        <v>1869.3</v>
      </c>
      <c r="D67" s="553">
        <f>C67</f>
        <v>1869.3</v>
      </c>
      <c r="E67" s="669">
        <f>D67/C67*100</f>
        <v>100</v>
      </c>
      <c r="F67" s="669">
        <f t="shared" si="14"/>
        <v>0</v>
      </c>
      <c r="G67" s="668">
        <f>F67/C67*100</f>
        <v>0</v>
      </c>
    </row>
    <row r="68" spans="1:7" s="561" customFormat="1" ht="30" customHeight="1">
      <c r="A68" s="119" t="s">
        <v>348</v>
      </c>
      <c r="B68" s="652"/>
      <c r="C68" s="553">
        <v>14.7</v>
      </c>
      <c r="D68" s="553">
        <f>C68</f>
        <v>14.7</v>
      </c>
      <c r="E68" s="669">
        <f>D68/C68*100</f>
        <v>100</v>
      </c>
      <c r="F68" s="669">
        <f aca="true" t="shared" si="15" ref="F68:F110">D68-C68</f>
        <v>0</v>
      </c>
      <c r="G68" s="668">
        <f>F68/C68*100</f>
        <v>0</v>
      </c>
    </row>
    <row r="69" spans="1:7" s="645" customFormat="1" ht="12.75" hidden="1">
      <c r="A69" s="98" t="s">
        <v>295</v>
      </c>
      <c r="B69" s="653"/>
      <c r="C69" s="686"/>
      <c r="D69" s="683"/>
      <c r="E69" s="676"/>
      <c r="F69" s="676">
        <f t="shared" si="15"/>
        <v>0</v>
      </c>
      <c r="G69" s="682"/>
    </row>
    <row r="70" spans="1:7" s="645" customFormat="1" ht="12.75" hidden="1">
      <c r="A70" s="100" t="s">
        <v>296</v>
      </c>
      <c r="B70" s="653"/>
      <c r="C70" s="680"/>
      <c r="D70" s="680"/>
      <c r="E70" s="681"/>
      <c r="F70" s="676">
        <f t="shared" si="15"/>
        <v>0</v>
      </c>
      <c r="G70" s="682"/>
    </row>
    <row r="71" spans="1:7" s="561" customFormat="1" ht="51">
      <c r="A71" s="143" t="s">
        <v>233</v>
      </c>
      <c r="B71" s="654"/>
      <c r="C71" s="553">
        <v>23575.6</v>
      </c>
      <c r="D71" s="553">
        <v>22337.7</v>
      </c>
      <c r="E71" s="669">
        <f aca="true" t="shared" si="16" ref="E71:E80">D71/C71*100</f>
        <v>94.74923225707937</v>
      </c>
      <c r="F71" s="669">
        <f t="shared" si="15"/>
        <v>-1237.8999999999978</v>
      </c>
      <c r="G71" s="668">
        <f aca="true" t="shared" si="17" ref="G71:G80">F71/C71*100</f>
        <v>-5.2507677429206385</v>
      </c>
    </row>
    <row r="72" spans="1:7" s="645" customFormat="1" ht="12.75" hidden="1">
      <c r="A72" s="98" t="s">
        <v>295</v>
      </c>
      <c r="B72" s="653"/>
      <c r="C72" s="686"/>
      <c r="D72" s="683"/>
      <c r="E72" s="684" t="e">
        <f t="shared" si="16"/>
        <v>#DIV/0!</v>
      </c>
      <c r="F72" s="687">
        <f>D72-C72</f>
        <v>0</v>
      </c>
      <c r="G72" s="688" t="e">
        <f t="shared" si="17"/>
        <v>#DIV/0!</v>
      </c>
    </row>
    <row r="73" spans="1:7" s="645" customFormat="1" ht="12.75" hidden="1">
      <c r="A73" s="100" t="s">
        <v>296</v>
      </c>
      <c r="B73" s="653"/>
      <c r="C73" s="680"/>
      <c r="D73" s="680"/>
      <c r="E73" s="681" t="e">
        <f t="shared" si="16"/>
        <v>#DIV/0!</v>
      </c>
      <c r="F73" s="681">
        <f>D73-C73</f>
        <v>0</v>
      </c>
      <c r="G73" s="682" t="e">
        <f t="shared" si="17"/>
        <v>#DIV/0!</v>
      </c>
    </row>
    <row r="74" spans="1:7" s="561" customFormat="1" ht="25.5">
      <c r="A74" s="120" t="s">
        <v>253</v>
      </c>
      <c r="B74" s="655"/>
      <c r="C74" s="553">
        <f>C75+C76</f>
        <v>16406.600000000002</v>
      </c>
      <c r="D74" s="553">
        <f>C74</f>
        <v>16406.600000000002</v>
      </c>
      <c r="E74" s="553">
        <f t="shared" si="16"/>
        <v>100</v>
      </c>
      <c r="F74" s="553">
        <f>D74-C74</f>
        <v>0</v>
      </c>
      <c r="G74" s="554">
        <f t="shared" si="17"/>
        <v>0</v>
      </c>
    </row>
    <row r="75" spans="1:7" s="561" customFormat="1" ht="12.75">
      <c r="A75" s="147" t="s">
        <v>38</v>
      </c>
      <c r="B75" s="656"/>
      <c r="C75" s="689">
        <v>2890.9</v>
      </c>
      <c r="D75" s="666">
        <f>C75</f>
        <v>2890.9</v>
      </c>
      <c r="E75" s="666">
        <f>D75/C75*100</f>
        <v>100</v>
      </c>
      <c r="F75" s="666">
        <f>D75-C75</f>
        <v>0</v>
      </c>
      <c r="G75" s="690">
        <f>F75/C75*100</f>
        <v>0</v>
      </c>
    </row>
    <row r="76" spans="1:7" s="561" customFormat="1" ht="12.75">
      <c r="A76" s="118" t="s">
        <v>39</v>
      </c>
      <c r="B76" s="656"/>
      <c r="C76" s="691">
        <v>13515.7</v>
      </c>
      <c r="D76" s="553">
        <f>C76</f>
        <v>13515.7</v>
      </c>
      <c r="E76" s="553">
        <f>D76/C76*100</f>
        <v>100</v>
      </c>
      <c r="F76" s="553">
        <f>D76-C76</f>
        <v>0</v>
      </c>
      <c r="G76" s="554">
        <f>F76/C76*100</f>
        <v>0</v>
      </c>
    </row>
    <row r="77" spans="1:8" s="507" customFormat="1" ht="12.75">
      <c r="A77" s="119" t="s">
        <v>240</v>
      </c>
      <c r="B77" s="657"/>
      <c r="C77" s="553">
        <f>C78+C79</f>
        <v>10726.9</v>
      </c>
      <c r="D77" s="553">
        <f>D78+D79</f>
        <v>10726.9</v>
      </c>
      <c r="E77" s="553">
        <f t="shared" si="16"/>
        <v>100</v>
      </c>
      <c r="F77" s="553">
        <f t="shared" si="15"/>
        <v>0</v>
      </c>
      <c r="G77" s="554">
        <f t="shared" si="17"/>
        <v>0</v>
      </c>
      <c r="H77" s="641"/>
    </row>
    <row r="78" spans="1:7" s="507" customFormat="1" ht="12.75">
      <c r="A78" s="118" t="s">
        <v>38</v>
      </c>
      <c r="B78" s="657"/>
      <c r="C78" s="691">
        <v>598.033</v>
      </c>
      <c r="D78" s="553">
        <f>C78</f>
        <v>598.033</v>
      </c>
      <c r="E78" s="553">
        <f t="shared" si="16"/>
        <v>100</v>
      </c>
      <c r="F78" s="553">
        <f>D78-C78</f>
        <v>0</v>
      </c>
      <c r="G78" s="554">
        <f t="shared" si="17"/>
        <v>0</v>
      </c>
    </row>
    <row r="79" spans="1:7" s="507" customFormat="1" ht="12.75">
      <c r="A79" s="118" t="s">
        <v>39</v>
      </c>
      <c r="B79" s="657"/>
      <c r="C79" s="553">
        <v>10128.867</v>
      </c>
      <c r="D79" s="553">
        <f>C79</f>
        <v>10128.867</v>
      </c>
      <c r="E79" s="553">
        <f t="shared" si="16"/>
        <v>100</v>
      </c>
      <c r="F79" s="553">
        <f>D79-C79</f>
        <v>0</v>
      </c>
      <c r="G79" s="554">
        <f t="shared" si="17"/>
        <v>0</v>
      </c>
    </row>
    <row r="80" spans="1:7" s="645" customFormat="1" ht="12.75" hidden="1">
      <c r="A80" s="78" t="s">
        <v>296</v>
      </c>
      <c r="B80" s="658"/>
      <c r="C80" s="675">
        <f>C83+C86</f>
        <v>0</v>
      </c>
      <c r="D80" s="675">
        <f>D83+D86</f>
        <v>0</v>
      </c>
      <c r="E80" s="676" t="e">
        <f t="shared" si="16"/>
        <v>#DIV/0!</v>
      </c>
      <c r="F80" s="676">
        <f aca="true" t="shared" si="18" ref="F80:F89">D80-C80</f>
        <v>0</v>
      </c>
      <c r="G80" s="677" t="e">
        <f t="shared" si="17"/>
        <v>#DIV/0!</v>
      </c>
    </row>
    <row r="81" spans="1:7" s="645" customFormat="1" ht="12.75" hidden="1">
      <c r="A81" s="99" t="s">
        <v>39</v>
      </c>
      <c r="B81" s="658"/>
      <c r="C81" s="683"/>
      <c r="D81" s="683">
        <f>D84+D87</f>
        <v>0</v>
      </c>
      <c r="E81" s="684"/>
      <c r="F81" s="676">
        <f t="shared" si="18"/>
        <v>0</v>
      </c>
      <c r="G81" s="685"/>
    </row>
    <row r="82" spans="1:7" s="645" customFormat="1" ht="12.75" hidden="1">
      <c r="A82" s="78" t="s">
        <v>296</v>
      </c>
      <c r="B82" s="658"/>
      <c r="C82" s="683"/>
      <c r="D82" s="683">
        <f>D85+D88</f>
        <v>0</v>
      </c>
      <c r="E82" s="684"/>
      <c r="F82" s="676">
        <f t="shared" si="18"/>
        <v>0</v>
      </c>
      <c r="G82" s="685"/>
    </row>
    <row r="83" spans="1:7" s="645" customFormat="1" ht="12.75" hidden="1">
      <c r="A83" s="102" t="s">
        <v>38</v>
      </c>
      <c r="B83" s="658"/>
      <c r="C83" s="683"/>
      <c r="D83" s="683"/>
      <c r="E83" s="684" t="e">
        <f>D83/C83*100</f>
        <v>#DIV/0!</v>
      </c>
      <c r="F83" s="676">
        <f t="shared" si="18"/>
        <v>0</v>
      </c>
      <c r="G83" s="685" t="e">
        <f>F83/C83*100</f>
        <v>#DIV/0!</v>
      </c>
    </row>
    <row r="84" spans="1:7" s="645" customFormat="1" ht="12.75" hidden="1">
      <c r="A84" s="78" t="s">
        <v>295</v>
      </c>
      <c r="B84" s="658"/>
      <c r="C84" s="683"/>
      <c r="D84" s="683"/>
      <c r="E84" s="684"/>
      <c r="F84" s="676">
        <f t="shared" si="18"/>
        <v>0</v>
      </c>
      <c r="G84" s="685"/>
    </row>
    <row r="85" spans="1:7" s="645" customFormat="1" ht="12.75" hidden="1">
      <c r="A85" s="78" t="s">
        <v>296</v>
      </c>
      <c r="B85" s="658"/>
      <c r="C85" s="683"/>
      <c r="D85" s="683"/>
      <c r="E85" s="684"/>
      <c r="F85" s="676">
        <f t="shared" si="18"/>
        <v>0</v>
      </c>
      <c r="G85" s="685"/>
    </row>
    <row r="86" spans="1:7" s="645" customFormat="1" ht="12.75" hidden="1">
      <c r="A86" s="102" t="s">
        <v>39</v>
      </c>
      <c r="B86" s="658"/>
      <c r="C86" s="683"/>
      <c r="D86" s="683"/>
      <c r="E86" s="684" t="e">
        <f>D86/C86*100</f>
        <v>#DIV/0!</v>
      </c>
      <c r="F86" s="676">
        <f t="shared" si="18"/>
        <v>0</v>
      </c>
      <c r="G86" s="685" t="e">
        <f>F86/C86*100</f>
        <v>#DIV/0!</v>
      </c>
    </row>
    <row r="87" spans="1:7" s="645" customFormat="1" ht="12.75" hidden="1">
      <c r="A87" s="78" t="s">
        <v>295</v>
      </c>
      <c r="B87" s="658"/>
      <c r="C87" s="683"/>
      <c r="D87" s="683"/>
      <c r="E87" s="684"/>
      <c r="F87" s="676">
        <f t="shared" si="18"/>
        <v>0</v>
      </c>
      <c r="G87" s="685"/>
    </row>
    <row r="88" spans="1:7" s="645" customFormat="1" ht="12.75" hidden="1">
      <c r="A88" s="78" t="s">
        <v>296</v>
      </c>
      <c r="B88" s="658"/>
      <c r="C88" s="683"/>
      <c r="D88" s="683"/>
      <c r="E88" s="684"/>
      <c r="F88" s="676">
        <f t="shared" si="18"/>
        <v>0</v>
      </c>
      <c r="G88" s="685"/>
    </row>
    <row r="89" spans="1:7" s="561" customFormat="1" ht="25.5">
      <c r="A89" s="137" t="s">
        <v>259</v>
      </c>
      <c r="B89" s="652"/>
      <c r="C89" s="666">
        <v>448</v>
      </c>
      <c r="D89" s="666">
        <f>C89</f>
        <v>448</v>
      </c>
      <c r="E89" s="672">
        <f>D89/C89*100</f>
        <v>100</v>
      </c>
      <c r="F89" s="672">
        <f t="shared" si="18"/>
        <v>0</v>
      </c>
      <c r="G89" s="673">
        <f>F89/C89*100</f>
        <v>0</v>
      </c>
    </row>
    <row r="90" spans="1:7" s="507" customFormat="1" ht="25.5">
      <c r="A90" s="137" t="s">
        <v>241</v>
      </c>
      <c r="B90" s="659"/>
      <c r="C90" s="666">
        <v>7438.961</v>
      </c>
      <c r="D90" s="666">
        <v>0</v>
      </c>
      <c r="E90" s="666">
        <f>D90/C90*100</f>
        <v>0</v>
      </c>
      <c r="F90" s="666">
        <f t="shared" si="15"/>
        <v>-7438.961</v>
      </c>
      <c r="G90" s="690">
        <f aca="true" t="shared" si="19" ref="G90:G110">F90/C90*100</f>
        <v>-100</v>
      </c>
    </row>
    <row r="91" spans="1:7" s="645" customFormat="1" ht="12.75" hidden="1">
      <c r="A91" s="78" t="s">
        <v>295</v>
      </c>
      <c r="B91" s="653"/>
      <c r="C91" s="678"/>
      <c r="D91" s="675"/>
      <c r="E91" s="676"/>
      <c r="F91" s="684">
        <f t="shared" si="15"/>
        <v>0</v>
      </c>
      <c r="G91" s="677"/>
    </row>
    <row r="92" spans="1:7" s="645" customFormat="1" ht="12.75" hidden="1">
      <c r="A92" s="78" t="s">
        <v>296</v>
      </c>
      <c r="B92" s="653"/>
      <c r="C92" s="692"/>
      <c r="D92" s="683"/>
      <c r="E92" s="684"/>
      <c r="F92" s="684">
        <f t="shared" si="15"/>
        <v>0</v>
      </c>
      <c r="G92" s="688"/>
    </row>
    <row r="93" spans="1:7" s="645" customFormat="1" ht="12.75" hidden="1">
      <c r="A93" s="101" t="s">
        <v>256</v>
      </c>
      <c r="B93" s="660"/>
      <c r="C93" s="693"/>
      <c r="D93" s="675"/>
      <c r="E93" s="676" t="e">
        <f>D93/C93*100</f>
        <v>#DIV/0!</v>
      </c>
      <c r="F93" s="681">
        <f t="shared" si="15"/>
        <v>0</v>
      </c>
      <c r="G93" s="682" t="e">
        <f t="shared" si="19"/>
        <v>#DIV/0!</v>
      </c>
    </row>
    <row r="94" spans="1:7" s="645" customFormat="1" ht="12.75" hidden="1">
      <c r="A94" s="78" t="s">
        <v>295</v>
      </c>
      <c r="B94" s="653"/>
      <c r="C94" s="693"/>
      <c r="D94" s="675"/>
      <c r="E94" s="676"/>
      <c r="F94" s="681">
        <f t="shared" si="15"/>
        <v>0</v>
      </c>
      <c r="G94" s="682"/>
    </row>
    <row r="95" spans="1:7" s="645" customFormat="1" ht="12.75" hidden="1">
      <c r="A95" s="78" t="s">
        <v>296</v>
      </c>
      <c r="B95" s="653"/>
      <c r="C95" s="693"/>
      <c r="D95" s="675"/>
      <c r="E95" s="676"/>
      <c r="F95" s="681">
        <f t="shared" si="15"/>
        <v>0</v>
      </c>
      <c r="G95" s="682"/>
    </row>
    <row r="96" spans="1:7" s="645" customFormat="1" ht="12.75" hidden="1">
      <c r="A96" s="101" t="s">
        <v>270</v>
      </c>
      <c r="B96" s="653"/>
      <c r="C96" s="693"/>
      <c r="D96" s="675"/>
      <c r="E96" s="676" t="e">
        <f>D96/C96*100</f>
        <v>#DIV/0!</v>
      </c>
      <c r="F96" s="681">
        <f t="shared" si="15"/>
        <v>0</v>
      </c>
      <c r="G96" s="682" t="e">
        <f t="shared" si="19"/>
        <v>#DIV/0!</v>
      </c>
    </row>
    <row r="97" spans="1:7" s="645" customFormat="1" ht="25.5" hidden="1">
      <c r="A97" s="73" t="s">
        <v>262</v>
      </c>
      <c r="B97" s="658"/>
      <c r="C97" s="678"/>
      <c r="D97" s="675"/>
      <c r="E97" s="676" t="e">
        <f>D97/C97*100</f>
        <v>#DIV/0!</v>
      </c>
      <c r="F97" s="676">
        <f t="shared" si="15"/>
        <v>0</v>
      </c>
      <c r="G97" s="677" t="e">
        <f t="shared" si="19"/>
        <v>#DIV/0!</v>
      </c>
    </row>
    <row r="98" spans="1:7" s="645" customFormat="1" ht="25.5" hidden="1">
      <c r="A98" s="73" t="s">
        <v>103</v>
      </c>
      <c r="B98" s="661"/>
      <c r="C98" s="678"/>
      <c r="D98" s="675"/>
      <c r="E98" s="676" t="e">
        <f>D98/C98*100</f>
        <v>#DIV/0!</v>
      </c>
      <c r="F98" s="676">
        <f t="shared" si="15"/>
        <v>0</v>
      </c>
      <c r="G98" s="677" t="e">
        <f t="shared" si="19"/>
        <v>#DIV/0!</v>
      </c>
    </row>
    <row r="99" spans="1:7" s="645" customFormat="1" ht="12.75" hidden="1">
      <c r="A99" s="78" t="s">
        <v>295</v>
      </c>
      <c r="B99" s="661"/>
      <c r="C99" s="678"/>
      <c r="D99" s="675"/>
      <c r="E99" s="676"/>
      <c r="F99" s="681">
        <f t="shared" si="15"/>
        <v>0</v>
      </c>
      <c r="G99" s="682"/>
    </row>
    <row r="100" spans="1:7" s="645" customFormat="1" ht="12.75" hidden="1">
      <c r="A100" s="78" t="s">
        <v>296</v>
      </c>
      <c r="B100" s="661"/>
      <c r="C100" s="678"/>
      <c r="D100" s="675"/>
      <c r="E100" s="676"/>
      <c r="F100" s="681">
        <f t="shared" si="15"/>
        <v>0</v>
      </c>
      <c r="G100" s="682"/>
    </row>
    <row r="101" spans="1:8" s="561" customFormat="1" ht="12.75">
      <c r="A101" s="119" t="s">
        <v>203</v>
      </c>
      <c r="B101" s="655"/>
      <c r="C101" s="553">
        <f>C102+C103</f>
        <v>37288</v>
      </c>
      <c r="D101" s="553">
        <f>C101</f>
        <v>37288</v>
      </c>
      <c r="E101" s="669">
        <f aca="true" t="shared" si="20" ref="E101:E110">D101/C101*100</f>
        <v>100</v>
      </c>
      <c r="F101" s="694">
        <f t="shared" si="15"/>
        <v>0</v>
      </c>
      <c r="G101" s="695">
        <f t="shared" si="19"/>
        <v>0</v>
      </c>
      <c r="H101" s="641"/>
    </row>
    <row r="102" spans="1:7" s="507" customFormat="1" ht="12.75">
      <c r="A102" s="119" t="s">
        <v>38</v>
      </c>
      <c r="B102" s="643"/>
      <c r="C102" s="553">
        <v>35727</v>
      </c>
      <c r="D102" s="553">
        <f>C102</f>
        <v>35727</v>
      </c>
      <c r="E102" s="553">
        <f t="shared" si="20"/>
        <v>100</v>
      </c>
      <c r="F102" s="691">
        <f>D102-C102</f>
        <v>0</v>
      </c>
      <c r="G102" s="696">
        <f>F102/C102*100</f>
        <v>0</v>
      </c>
    </row>
    <row r="103" spans="1:7" s="507" customFormat="1" ht="12.75">
      <c r="A103" s="137" t="s">
        <v>39</v>
      </c>
      <c r="B103" s="643"/>
      <c r="C103" s="553">
        <v>1561</v>
      </c>
      <c r="D103" s="553">
        <f>C103</f>
        <v>1561</v>
      </c>
      <c r="E103" s="553">
        <f t="shared" si="20"/>
        <v>100</v>
      </c>
      <c r="F103" s="691">
        <f>D103-C103</f>
        <v>0</v>
      </c>
      <c r="G103" s="696">
        <f>F103/C103*100</f>
        <v>0</v>
      </c>
    </row>
    <row r="104" spans="1:7" s="645" customFormat="1" ht="25.5" hidden="1">
      <c r="A104" s="73" t="s">
        <v>271</v>
      </c>
      <c r="B104" s="661"/>
      <c r="C104" s="675"/>
      <c r="D104" s="675"/>
      <c r="E104" s="676" t="e">
        <f t="shared" si="20"/>
        <v>#DIV/0!</v>
      </c>
      <c r="F104" s="681">
        <f>D104-C104</f>
        <v>0</v>
      </c>
      <c r="G104" s="682">
        <v>0</v>
      </c>
    </row>
    <row r="105" spans="1:7" s="561" customFormat="1" ht="12.75">
      <c r="A105" s="119" t="s">
        <v>255</v>
      </c>
      <c r="B105" s="655"/>
      <c r="C105" s="691">
        <v>1200</v>
      </c>
      <c r="D105" s="553">
        <v>0</v>
      </c>
      <c r="E105" s="669">
        <f t="shared" si="20"/>
        <v>0</v>
      </c>
      <c r="F105" s="694">
        <f t="shared" si="15"/>
        <v>-1200</v>
      </c>
      <c r="G105" s="695">
        <f t="shared" si="19"/>
        <v>-100</v>
      </c>
    </row>
    <row r="106" spans="1:7" s="561" customFormat="1" ht="25.5" hidden="1">
      <c r="A106" s="513" t="s">
        <v>257</v>
      </c>
      <c r="B106" s="662"/>
      <c r="C106" s="697"/>
      <c r="D106" s="553"/>
      <c r="E106" s="669" t="e">
        <f t="shared" si="20"/>
        <v>#DIV/0!</v>
      </c>
      <c r="F106" s="694">
        <f t="shared" si="15"/>
        <v>0</v>
      </c>
      <c r="G106" s="695" t="e">
        <f t="shared" si="19"/>
        <v>#DIV/0!</v>
      </c>
    </row>
    <row r="107" spans="1:7" s="507" customFormat="1" ht="12.75">
      <c r="A107" s="513" t="s">
        <v>284</v>
      </c>
      <c r="B107" s="663"/>
      <c r="C107" s="691">
        <v>1377.167</v>
      </c>
      <c r="D107" s="691">
        <v>0</v>
      </c>
      <c r="E107" s="553">
        <f t="shared" si="20"/>
        <v>0</v>
      </c>
      <c r="F107" s="691">
        <f>D107-C107</f>
        <v>-1377.167</v>
      </c>
      <c r="G107" s="696">
        <f>F107/C107*100</f>
        <v>-100</v>
      </c>
    </row>
    <row r="108" spans="1:7" s="561" customFormat="1" ht="25.5">
      <c r="A108" s="513" t="s">
        <v>269</v>
      </c>
      <c r="B108" s="662"/>
      <c r="C108" s="691">
        <v>7559.09522</v>
      </c>
      <c r="D108" s="691">
        <v>231.64</v>
      </c>
      <c r="E108" s="669">
        <f t="shared" si="20"/>
        <v>3.064387909641916</v>
      </c>
      <c r="F108" s="694">
        <f>D108-C108</f>
        <v>-7327.45522</v>
      </c>
      <c r="G108" s="695">
        <f>F108/C108*100</f>
        <v>-96.93561209035808</v>
      </c>
    </row>
    <row r="109" spans="1:7" s="561" customFormat="1" ht="13.5" thickBot="1">
      <c r="A109" s="513" t="s">
        <v>239</v>
      </c>
      <c r="B109" s="662"/>
      <c r="C109" s="691">
        <v>9270.107</v>
      </c>
      <c r="D109" s="691">
        <v>2200.655</v>
      </c>
      <c r="E109" s="669">
        <f t="shared" si="20"/>
        <v>23.73926212502186</v>
      </c>
      <c r="F109" s="694">
        <f t="shared" si="15"/>
        <v>-7069.451999999999</v>
      </c>
      <c r="G109" s="695">
        <f t="shared" si="19"/>
        <v>-76.26073787497813</v>
      </c>
    </row>
    <row r="110" spans="1:9" s="561" customFormat="1" ht="30" customHeight="1" thickBot="1">
      <c r="A110" s="664" t="s">
        <v>189</v>
      </c>
      <c r="B110" s="665"/>
      <c r="C110" s="670">
        <f>C27+C28+C29+C32+C35+C44+C45+C49+C52+C55+C58+C67+C68+C71+C74+C89+C101+C105+C107+C108+C109+C77+C90</f>
        <v>2545241.39022</v>
      </c>
      <c r="D110" s="670">
        <f>D27+D28+D29+D32+D35+D44+D45+D49+D52+D55+D58+D67+D68+D71+D74+D89+D101+D105+D107+D108+D109+D77+D90</f>
        <v>2448229.76416</v>
      </c>
      <c r="E110" s="670">
        <f t="shared" si="20"/>
        <v>96.18850980371592</v>
      </c>
      <c r="F110" s="671">
        <f t="shared" si="15"/>
        <v>-97011.62606000016</v>
      </c>
      <c r="G110" s="670">
        <f t="shared" si="19"/>
        <v>-3.811490196284089</v>
      </c>
      <c r="I110" s="632"/>
    </row>
    <row r="111" spans="1:7" s="14" customFormat="1" ht="12.75">
      <c r="A111" s="54"/>
      <c r="B111" s="33"/>
      <c r="C111" s="37"/>
      <c r="D111" s="37"/>
      <c r="E111" s="55"/>
      <c r="F111" s="56"/>
      <c r="G111" s="56"/>
    </row>
    <row r="114" spans="1:12" ht="12.75">
      <c r="A114" s="79" t="s">
        <v>144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1" ht="12.75">
      <c r="A115" s="79" t="s">
        <v>145</v>
      </c>
      <c r="B115" s="14"/>
      <c r="C115" s="14"/>
      <c r="E115" s="14"/>
      <c r="F115" s="14"/>
      <c r="G115" s="14" t="s">
        <v>267</v>
      </c>
      <c r="H115" s="14"/>
      <c r="I115" s="14"/>
      <c r="J115" s="14"/>
      <c r="K115" s="14"/>
    </row>
    <row r="116" spans="1:7" s="79" customFormat="1" ht="12.75" hidden="1">
      <c r="A116" s="79" t="s">
        <v>263</v>
      </c>
      <c r="C116" s="80"/>
      <c r="D116" s="81"/>
      <c r="E116" s="80"/>
      <c r="F116" s="80"/>
      <c r="G116" s="80"/>
    </row>
    <row r="117" spans="1:7" s="82" customFormat="1" ht="12.75" hidden="1">
      <c r="A117" s="82" t="s">
        <v>264</v>
      </c>
      <c r="C117" s="81"/>
      <c r="E117" s="81"/>
      <c r="G117" s="83"/>
    </row>
    <row r="118" spans="1:7" s="79" customFormat="1" ht="12.75" hidden="1">
      <c r="A118" s="79" t="s">
        <v>265</v>
      </c>
      <c r="C118" s="80"/>
      <c r="D118" s="81"/>
      <c r="E118" s="80"/>
      <c r="F118" s="80"/>
      <c r="G118" s="80" t="s">
        <v>266</v>
      </c>
    </row>
    <row r="119" spans="3:7" ht="12.75">
      <c r="C119" s="12"/>
      <c r="D119" s="66"/>
      <c r="E119" s="12"/>
      <c r="F119" s="12"/>
      <c r="G119" s="12"/>
    </row>
    <row r="120" spans="3:7" ht="12.75">
      <c r="C120" s="21"/>
      <c r="D120" s="21"/>
      <c r="E120" s="28"/>
      <c r="F120" s="12"/>
      <c r="G120" s="12"/>
    </row>
    <row r="121" spans="3:7" ht="12.75">
      <c r="C121" s="28"/>
      <c r="D121" s="15"/>
      <c r="E121" s="12"/>
      <c r="F121" s="12"/>
      <c r="G121" s="12"/>
    </row>
    <row r="122" spans="3:7" ht="12.75">
      <c r="C122" s="12"/>
      <c r="D122" s="21"/>
      <c r="E122" s="28"/>
      <c r="F122" s="12"/>
      <c r="G122" s="12"/>
    </row>
    <row r="123" spans="3:7" ht="12.75">
      <c r="C123" s="12"/>
      <c r="D123" s="21"/>
      <c r="E123" s="12"/>
      <c r="F123" s="12"/>
      <c r="G123" s="12"/>
    </row>
    <row r="124" spans="3:7" ht="12.75">
      <c r="C124" s="12"/>
      <c r="D124" s="15"/>
      <c r="E124" s="12"/>
      <c r="F124" s="12"/>
      <c r="G124" s="12"/>
    </row>
    <row r="125" spans="3:7" ht="12.75">
      <c r="C125" s="12"/>
      <c r="D125" s="15"/>
      <c r="E125" s="12"/>
      <c r="F125" s="12"/>
      <c r="G125" s="12"/>
    </row>
    <row r="126" spans="3:7" ht="12.75">
      <c r="C126" s="12"/>
      <c r="D126" s="15"/>
      <c r="E126" s="12"/>
      <c r="F126" s="12"/>
      <c r="G126" s="12"/>
    </row>
    <row r="127" spans="3:7" ht="12.75">
      <c r="C127" s="12"/>
      <c r="D127" s="15"/>
      <c r="E127" s="12"/>
      <c r="F127" s="12"/>
      <c r="G127" s="12"/>
    </row>
    <row r="128" spans="3:7" ht="12.75">
      <c r="C128" s="12"/>
      <c r="D128" s="15"/>
      <c r="E128" s="12"/>
      <c r="F128" s="12"/>
      <c r="G128" s="12"/>
    </row>
    <row r="129" spans="3:7" ht="12.75">
      <c r="C129" s="12"/>
      <c r="D129" s="15"/>
      <c r="E129" s="12"/>
      <c r="F129" s="12"/>
      <c r="G129" s="12"/>
    </row>
    <row r="130" spans="3:7" ht="12.75">
      <c r="C130" s="12"/>
      <c r="D130" s="15"/>
      <c r="E130" s="12"/>
      <c r="F130" s="12"/>
      <c r="G130" s="12"/>
    </row>
    <row r="131" spans="3:7" ht="12.75">
      <c r="C131" s="12"/>
      <c r="D131" s="15"/>
      <c r="E131" s="12"/>
      <c r="F131" s="12"/>
      <c r="G131" s="12"/>
    </row>
    <row r="132" spans="3:7" ht="12.75">
      <c r="C132" s="12"/>
      <c r="D132" s="15"/>
      <c r="E132" s="12"/>
      <c r="F132" s="12"/>
      <c r="G132" s="12"/>
    </row>
    <row r="133" spans="3:7" ht="12.75">
      <c r="C133" s="12"/>
      <c r="D133" s="15"/>
      <c r="E133" s="12"/>
      <c r="F133" s="12"/>
      <c r="G133" s="12"/>
    </row>
    <row r="134" spans="3:7" ht="12.75">
      <c r="C134" s="12"/>
      <c r="D134" s="15"/>
      <c r="E134" s="12"/>
      <c r="F134" s="12"/>
      <c r="G134" s="12"/>
    </row>
    <row r="135" spans="3:7" ht="12.75">
      <c r="C135" s="12"/>
      <c r="D135" s="15"/>
      <c r="E135" s="12"/>
      <c r="F135" s="12"/>
      <c r="G135" s="12"/>
    </row>
    <row r="136" spans="3:7" ht="12.75">
      <c r="C136" s="12"/>
      <c r="D136" s="15"/>
      <c r="E136" s="12"/>
      <c r="F136" s="12"/>
      <c r="G136" s="12"/>
    </row>
    <row r="137" spans="3:7" ht="12.75">
      <c r="C137" s="12"/>
      <c r="D137" s="15"/>
      <c r="E137" s="12"/>
      <c r="F137" s="12"/>
      <c r="G137" s="12"/>
    </row>
    <row r="138" spans="3:7" ht="12.75">
      <c r="C138" s="12"/>
      <c r="D138" s="15"/>
      <c r="E138" s="12"/>
      <c r="F138" s="12"/>
      <c r="G138" s="12"/>
    </row>
    <row r="139" spans="3:7" ht="12.75">
      <c r="C139" s="12"/>
      <c r="D139" s="15"/>
      <c r="E139" s="12"/>
      <c r="F139" s="12"/>
      <c r="G139" s="12"/>
    </row>
    <row r="140" spans="3:7" ht="12.75">
      <c r="C140" s="12"/>
      <c r="D140" s="15"/>
      <c r="E140" s="12"/>
      <c r="F140" s="12"/>
      <c r="G140" s="12"/>
    </row>
    <row r="141" spans="3:7" ht="12.75">
      <c r="C141" s="12"/>
      <c r="D141" s="15"/>
      <c r="E141" s="12"/>
      <c r="F141" s="12"/>
      <c r="G141" s="12"/>
    </row>
    <row r="142" spans="3:7" ht="12.75">
      <c r="C142" s="12"/>
      <c r="D142" s="15"/>
      <c r="E142" s="12"/>
      <c r="F142" s="12"/>
      <c r="G142" s="12"/>
    </row>
    <row r="143" spans="3:7" ht="12.75">
      <c r="C143" s="12"/>
      <c r="D143" s="15"/>
      <c r="E143" s="12"/>
      <c r="F143" s="12"/>
      <c r="G143" s="12"/>
    </row>
    <row r="144" spans="3:7" ht="12.75">
      <c r="C144" s="12"/>
      <c r="D144" s="15"/>
      <c r="E144" s="12"/>
      <c r="F144" s="12"/>
      <c r="G144" s="12"/>
    </row>
    <row r="145" spans="3:7" ht="12.75">
      <c r="C145" s="12"/>
      <c r="D145" s="15"/>
      <c r="E145" s="12"/>
      <c r="F145" s="12"/>
      <c r="G145" s="12"/>
    </row>
    <row r="146" spans="3:7" ht="12.75">
      <c r="C146" s="12"/>
      <c r="D146" s="15"/>
      <c r="E146" s="12"/>
      <c r="F146" s="12"/>
      <c r="G146" s="12"/>
    </row>
    <row r="147" spans="3:7" ht="12.75">
      <c r="C147" s="12"/>
      <c r="D147" s="15"/>
      <c r="E147" s="12"/>
      <c r="F147" s="12"/>
      <c r="G147" s="12"/>
    </row>
    <row r="148" spans="3:7" ht="12.75">
      <c r="C148" s="12"/>
      <c r="D148" s="15"/>
      <c r="E148" s="12"/>
      <c r="F148" s="12"/>
      <c r="G148" s="12"/>
    </row>
    <row r="149" spans="3:7" ht="12.75">
      <c r="C149" s="12"/>
      <c r="D149" s="15"/>
      <c r="E149" s="12"/>
      <c r="F149" s="12"/>
      <c r="G149" s="12"/>
    </row>
    <row r="150" spans="3:7" ht="12.75">
      <c r="C150" s="12"/>
      <c r="D150" s="15"/>
      <c r="E150" s="12"/>
      <c r="F150" s="12"/>
      <c r="G150" s="12"/>
    </row>
    <row r="151" spans="3:7" ht="12.75">
      <c r="C151" s="12"/>
      <c r="D151" s="15"/>
      <c r="E151" s="12"/>
      <c r="F151" s="12"/>
      <c r="G151" s="12"/>
    </row>
    <row r="152" spans="3:7" ht="12.75">
      <c r="C152" s="12"/>
      <c r="D152" s="15"/>
      <c r="E152" s="12"/>
      <c r="F152" s="12"/>
      <c r="G152" s="12"/>
    </row>
    <row r="153" spans="3:7" ht="12.75">
      <c r="C153" s="12"/>
      <c r="D153" s="15"/>
      <c r="E153" s="12"/>
      <c r="F153" s="12"/>
      <c r="G153" s="12"/>
    </row>
    <row r="154" spans="3:7" ht="12.75">
      <c r="C154" s="12"/>
      <c r="D154" s="15"/>
      <c r="E154" s="12"/>
      <c r="F154" s="12"/>
      <c r="G154" s="12"/>
    </row>
    <row r="155" spans="3:7" ht="12.75">
      <c r="C155" s="12"/>
      <c r="D155" s="15"/>
      <c r="E155" s="12"/>
      <c r="F155" s="12"/>
      <c r="G155" s="12"/>
    </row>
    <row r="156" spans="3:7" ht="12.75">
      <c r="C156" s="12"/>
      <c r="D156" s="15"/>
      <c r="E156" s="12"/>
      <c r="F156" s="12"/>
      <c r="G156" s="12"/>
    </row>
    <row r="157" spans="3:7" ht="12.75">
      <c r="C157" s="12"/>
      <c r="D157" s="15"/>
      <c r="E157" s="12"/>
      <c r="F157" s="12"/>
      <c r="G157" s="12"/>
    </row>
    <row r="158" spans="3:7" ht="12.75">
      <c r="C158" s="12"/>
      <c r="D158" s="15"/>
      <c r="E158" s="12"/>
      <c r="F158" s="12"/>
      <c r="G158" s="12"/>
    </row>
    <row r="159" spans="3:7" ht="12.75">
      <c r="C159" s="12"/>
      <c r="D159" s="15"/>
      <c r="E159" s="12"/>
      <c r="F159" s="12"/>
      <c r="G159" s="12"/>
    </row>
    <row r="160" spans="3:7" ht="12.75">
      <c r="C160" s="12"/>
      <c r="D160" s="15"/>
      <c r="E160" s="12"/>
      <c r="F160" s="12"/>
      <c r="G160" s="12"/>
    </row>
    <row r="161" spans="3:7" ht="12.75">
      <c r="C161" s="12"/>
      <c r="D161" s="15"/>
      <c r="E161" s="12"/>
      <c r="F161" s="12"/>
      <c r="G161" s="12"/>
    </row>
    <row r="162" spans="3:7" ht="12.75">
      <c r="C162" s="12"/>
      <c r="D162" s="15"/>
      <c r="E162" s="12"/>
      <c r="F162" s="12"/>
      <c r="G162" s="12"/>
    </row>
    <row r="163" spans="3:7" ht="12.75">
      <c r="C163" s="12"/>
      <c r="D163" s="15"/>
      <c r="E163" s="12"/>
      <c r="F163" s="12"/>
      <c r="G163" s="12"/>
    </row>
    <row r="164" spans="3:7" ht="12.75">
      <c r="C164" s="12"/>
      <c r="D164" s="15"/>
      <c r="E164" s="12"/>
      <c r="F164" s="12"/>
      <c r="G164" s="12"/>
    </row>
    <row r="165" spans="3:7" ht="12.75">
      <c r="C165" s="12"/>
      <c r="D165" s="15"/>
      <c r="E165" s="12"/>
      <c r="F165" s="12"/>
      <c r="G165" s="12"/>
    </row>
    <row r="166" spans="3:7" ht="12.75">
      <c r="C166" s="12"/>
      <c r="D166" s="15"/>
      <c r="E166" s="12"/>
      <c r="F166" s="12"/>
      <c r="G166" s="12"/>
    </row>
    <row r="167" spans="3:7" ht="12.75">
      <c r="C167" s="12"/>
      <c r="D167" s="15"/>
      <c r="E167" s="12"/>
      <c r="F167" s="12"/>
      <c r="G167" s="12"/>
    </row>
    <row r="168" spans="3:7" ht="12.75">
      <c r="C168" s="12"/>
      <c r="D168" s="15"/>
      <c r="E168" s="12"/>
      <c r="F168" s="12"/>
      <c r="G168" s="12"/>
    </row>
    <row r="169" spans="3:7" ht="12.75">
      <c r="C169" s="12"/>
      <c r="D169" s="15"/>
      <c r="E169" s="12"/>
      <c r="F169" s="12"/>
      <c r="G169" s="12"/>
    </row>
    <row r="170" spans="3:7" ht="12.75">
      <c r="C170" s="12"/>
      <c r="D170" s="15"/>
      <c r="E170" s="12"/>
      <c r="F170" s="12"/>
      <c r="G170" s="12"/>
    </row>
    <row r="171" spans="3:7" ht="12.75">
      <c r="C171" s="12"/>
      <c r="D171" s="15"/>
      <c r="E171" s="12"/>
      <c r="F171" s="12"/>
      <c r="G171" s="12"/>
    </row>
    <row r="172" spans="3:7" ht="12.75">
      <c r="C172" s="12"/>
      <c r="D172" s="15"/>
      <c r="E172" s="12"/>
      <c r="F172" s="12"/>
      <c r="G172" s="12"/>
    </row>
    <row r="173" spans="3:7" ht="12.75">
      <c r="C173" s="12"/>
      <c r="D173" s="15"/>
      <c r="E173" s="12"/>
      <c r="F173" s="12"/>
      <c r="G173" s="12"/>
    </row>
    <row r="174" spans="3:7" ht="12.75">
      <c r="C174" s="12"/>
      <c r="D174" s="15"/>
      <c r="E174" s="12"/>
      <c r="F174" s="12"/>
      <c r="G174" s="12"/>
    </row>
    <row r="175" spans="3:7" ht="12.75">
      <c r="C175" s="12"/>
      <c r="D175" s="15"/>
      <c r="E175" s="12"/>
      <c r="F175" s="12"/>
      <c r="G175" s="12"/>
    </row>
    <row r="176" spans="3:7" ht="12.75">
      <c r="C176" s="12"/>
      <c r="D176" s="15"/>
      <c r="E176" s="12"/>
      <c r="F176" s="12"/>
      <c r="G176" s="12"/>
    </row>
    <row r="177" spans="3:7" ht="12.75">
      <c r="C177" s="12"/>
      <c r="D177" s="15"/>
      <c r="E177" s="12"/>
      <c r="F177" s="12"/>
      <c r="G177" s="12"/>
    </row>
    <row r="178" spans="3:7" ht="12.75">
      <c r="C178" s="12"/>
      <c r="D178" s="15"/>
      <c r="E178" s="12"/>
      <c r="F178" s="12"/>
      <c r="G178" s="12"/>
    </row>
    <row r="179" spans="3:7" ht="12.75">
      <c r="C179" s="12"/>
      <c r="D179" s="15"/>
      <c r="E179" s="12"/>
      <c r="F179" s="12"/>
      <c r="G179" s="12"/>
    </row>
    <row r="180" spans="3:7" ht="12.75">
      <c r="C180" s="12"/>
      <c r="D180" s="15"/>
      <c r="E180" s="12"/>
      <c r="F180" s="12"/>
      <c r="G180" s="12"/>
    </row>
    <row r="181" spans="3:7" ht="12.75">
      <c r="C181" s="12"/>
      <c r="D181" s="15"/>
      <c r="E181" s="12"/>
      <c r="F181" s="12"/>
      <c r="G181" s="12"/>
    </row>
    <row r="182" spans="3:7" ht="12.75">
      <c r="C182" s="12"/>
      <c r="D182" s="15"/>
      <c r="E182" s="12"/>
      <c r="F182" s="12"/>
      <c r="G182" s="12"/>
    </row>
    <row r="183" spans="3:7" ht="12.75">
      <c r="C183" s="12"/>
      <c r="D183" s="15"/>
      <c r="E183" s="12"/>
      <c r="F183" s="12"/>
      <c r="G183" s="12"/>
    </row>
    <row r="184" spans="3:7" ht="12.75">
      <c r="C184" s="12"/>
      <c r="D184" s="15"/>
      <c r="E184" s="12"/>
      <c r="F184" s="12"/>
      <c r="G184" s="12"/>
    </row>
    <row r="185" spans="3:7" ht="12.75">
      <c r="C185" s="12"/>
      <c r="D185" s="15"/>
      <c r="E185" s="12"/>
      <c r="F185" s="12"/>
      <c r="G185" s="12"/>
    </row>
    <row r="186" spans="3:7" ht="12.75">
      <c r="C186" s="12"/>
      <c r="D186" s="15"/>
      <c r="E186" s="12"/>
      <c r="F186" s="12"/>
      <c r="G186" s="12"/>
    </row>
    <row r="187" spans="3:7" ht="12.75">
      <c r="C187" s="12"/>
      <c r="D187" s="15"/>
      <c r="E187" s="12"/>
      <c r="F187" s="12"/>
      <c r="G187" s="12"/>
    </row>
    <row r="188" spans="3:7" ht="12.75">
      <c r="C188" s="12"/>
      <c r="D188" s="15"/>
      <c r="E188" s="12"/>
      <c r="F188" s="12"/>
      <c r="G188" s="12"/>
    </row>
    <row r="189" spans="3:7" ht="12.75">
      <c r="C189" s="12"/>
      <c r="D189" s="15"/>
      <c r="E189" s="12"/>
      <c r="F189" s="12"/>
      <c r="G189" s="12"/>
    </row>
    <row r="190" spans="3:7" ht="12.75">
      <c r="C190" s="12"/>
      <c r="D190" s="15"/>
      <c r="E190" s="12"/>
      <c r="F190" s="12"/>
      <c r="G190" s="12"/>
    </row>
    <row r="191" spans="3:7" ht="12.75">
      <c r="C191" s="12"/>
      <c r="D191" s="15"/>
      <c r="E191" s="12"/>
      <c r="F191" s="12"/>
      <c r="G191" s="12"/>
    </row>
    <row r="192" spans="3:7" ht="12.75">
      <c r="C192" s="12"/>
      <c r="D192" s="15"/>
      <c r="E192" s="12"/>
      <c r="F192" s="12"/>
      <c r="G192" s="12"/>
    </row>
    <row r="193" spans="3:7" ht="12.75">
      <c r="C193" s="12"/>
      <c r="D193" s="15"/>
      <c r="E193" s="12"/>
      <c r="F193" s="12"/>
      <c r="G193" s="12"/>
    </row>
    <row r="194" spans="3:7" ht="12.75">
      <c r="C194" s="12"/>
      <c r="D194" s="15"/>
      <c r="E194" s="12"/>
      <c r="F194" s="12"/>
      <c r="G194" s="12"/>
    </row>
    <row r="195" spans="3:7" ht="12.75">
      <c r="C195" s="12"/>
      <c r="D195" s="15"/>
      <c r="E195" s="12"/>
      <c r="F195" s="12"/>
      <c r="G195" s="12"/>
    </row>
    <row r="196" spans="3:7" ht="12.75">
      <c r="C196" s="12"/>
      <c r="D196" s="15"/>
      <c r="E196" s="12"/>
      <c r="F196" s="12"/>
      <c r="G196" s="12"/>
    </row>
    <row r="197" spans="3:7" ht="12.75">
      <c r="C197" s="12"/>
      <c r="D197" s="15"/>
      <c r="E197" s="12"/>
      <c r="F197" s="12"/>
      <c r="G197" s="12"/>
    </row>
    <row r="198" spans="3:7" ht="12.75">
      <c r="C198" s="12"/>
      <c r="D198" s="15"/>
      <c r="E198" s="12"/>
      <c r="F198" s="12"/>
      <c r="G198" s="12"/>
    </row>
    <row r="199" spans="3:7" ht="12.75">
      <c r="C199" s="12"/>
      <c r="D199" s="15"/>
      <c r="E199" s="12"/>
      <c r="F199" s="12"/>
      <c r="G199" s="12"/>
    </row>
    <row r="200" spans="3:7" ht="12.75">
      <c r="C200" s="12"/>
      <c r="D200" s="15"/>
      <c r="E200" s="12"/>
      <c r="F200" s="12"/>
      <c r="G200" s="12"/>
    </row>
    <row r="201" spans="3:7" ht="12.75">
      <c r="C201" s="12"/>
      <c r="D201" s="15"/>
      <c r="E201" s="12"/>
      <c r="F201" s="12"/>
      <c r="G201" s="12"/>
    </row>
    <row r="202" spans="3:7" ht="12.75">
      <c r="C202" s="12"/>
      <c r="D202" s="15"/>
      <c r="E202" s="12"/>
      <c r="F202" s="12"/>
      <c r="G202" s="12"/>
    </row>
    <row r="203" spans="3:7" ht="12.75">
      <c r="C203" s="12"/>
      <c r="D203" s="15"/>
      <c r="E203" s="12"/>
      <c r="F203" s="12"/>
      <c r="G203" s="12"/>
    </row>
    <row r="204" spans="3:7" ht="12.75">
      <c r="C204" s="12"/>
      <c r="D204" s="15"/>
      <c r="E204" s="12"/>
      <c r="F204" s="12"/>
      <c r="G204" s="12"/>
    </row>
    <row r="205" spans="3:7" ht="12.75">
      <c r="C205" s="12"/>
      <c r="D205" s="15"/>
      <c r="E205" s="12"/>
      <c r="F205" s="12"/>
      <c r="G205" s="12"/>
    </row>
    <row r="206" spans="3:7" ht="12.75">
      <c r="C206" s="12"/>
      <c r="D206" s="15"/>
      <c r="E206" s="12"/>
      <c r="F206" s="12"/>
      <c r="G206" s="12"/>
    </row>
    <row r="207" spans="3:7" ht="12.75">
      <c r="C207" s="12"/>
      <c r="D207" s="15"/>
      <c r="E207" s="12"/>
      <c r="F207" s="12"/>
      <c r="G207" s="12"/>
    </row>
    <row r="208" spans="3:7" ht="12.75">
      <c r="C208" s="12"/>
      <c r="D208" s="15"/>
      <c r="E208" s="12"/>
      <c r="F208" s="12"/>
      <c r="G208" s="12"/>
    </row>
    <row r="209" spans="3:7" ht="12.75">
      <c r="C209" s="12"/>
      <c r="D209" s="15"/>
      <c r="E209" s="12"/>
      <c r="F209" s="12"/>
      <c r="G209" s="12"/>
    </row>
    <row r="210" spans="3:7" ht="12.75">
      <c r="C210" s="12"/>
      <c r="D210" s="15"/>
      <c r="E210" s="12"/>
      <c r="F210" s="12"/>
      <c r="G210" s="12"/>
    </row>
    <row r="211" spans="3:7" ht="12.75">
      <c r="C211" s="12"/>
      <c r="D211" s="15"/>
      <c r="E211" s="12"/>
      <c r="F211" s="12"/>
      <c r="G211" s="12"/>
    </row>
    <row r="212" spans="3:7" ht="12.75">
      <c r="C212" s="12"/>
      <c r="D212" s="15"/>
      <c r="E212" s="12"/>
      <c r="F212" s="12"/>
      <c r="G212" s="12"/>
    </row>
    <row r="213" spans="3:7" ht="12.75">
      <c r="C213" s="12"/>
      <c r="D213" s="15"/>
      <c r="E213" s="12"/>
      <c r="F213" s="12"/>
      <c r="G213" s="12"/>
    </row>
    <row r="214" spans="3:7" ht="12.75">
      <c r="C214" s="12"/>
      <c r="D214" s="15"/>
      <c r="E214" s="12"/>
      <c r="F214" s="12"/>
      <c r="G214" s="12"/>
    </row>
    <row r="215" spans="3:7" ht="12.75">
      <c r="C215" s="12"/>
      <c r="D215" s="15"/>
      <c r="E215" s="12"/>
      <c r="F215" s="12"/>
      <c r="G215" s="12"/>
    </row>
    <row r="216" spans="3:7" ht="12.75">
      <c r="C216" s="12"/>
      <c r="D216" s="15"/>
      <c r="E216" s="12"/>
      <c r="F216" s="12"/>
      <c r="G216" s="12"/>
    </row>
    <row r="217" spans="3:7" ht="12.75">
      <c r="C217" s="12"/>
      <c r="D217" s="15"/>
      <c r="E217" s="12"/>
      <c r="F217" s="12"/>
      <c r="G217" s="12"/>
    </row>
    <row r="218" spans="3:7" ht="12.75">
      <c r="C218" s="12"/>
      <c r="D218" s="15"/>
      <c r="E218" s="12"/>
      <c r="F218" s="12"/>
      <c r="G218" s="12"/>
    </row>
    <row r="219" spans="3:7" ht="12.75">
      <c r="C219" s="12"/>
      <c r="D219" s="15"/>
      <c r="E219" s="12"/>
      <c r="F219" s="12"/>
      <c r="G219" s="12"/>
    </row>
    <row r="220" spans="3:7" ht="12.75">
      <c r="C220" s="12"/>
      <c r="D220" s="15"/>
      <c r="E220" s="12"/>
      <c r="F220" s="12"/>
      <c r="G220" s="12"/>
    </row>
    <row r="221" spans="3:7" ht="12.75">
      <c r="C221" s="12"/>
      <c r="D221" s="15"/>
      <c r="E221" s="12"/>
      <c r="F221" s="12"/>
      <c r="G221" s="12"/>
    </row>
    <row r="222" spans="3:7" ht="12.75">
      <c r="C222" s="12"/>
      <c r="D222" s="15"/>
      <c r="E222" s="12"/>
      <c r="F222" s="12"/>
      <c r="G222" s="12"/>
    </row>
    <row r="223" spans="3:7" ht="12.75">
      <c r="C223" s="12"/>
      <c r="D223" s="15"/>
      <c r="E223" s="12"/>
      <c r="F223" s="12"/>
      <c r="G223" s="12"/>
    </row>
    <row r="224" spans="3:7" ht="12.75">
      <c r="C224" s="12"/>
      <c r="D224" s="15"/>
      <c r="E224" s="12"/>
      <c r="F224" s="12"/>
      <c r="G224" s="12"/>
    </row>
    <row r="225" spans="3:7" ht="12.75">
      <c r="C225" s="12"/>
      <c r="D225" s="15"/>
      <c r="E225" s="12"/>
      <c r="F225" s="12"/>
      <c r="G225" s="12"/>
    </row>
    <row r="226" spans="3:7" ht="12.75">
      <c r="C226" s="12"/>
      <c r="D226" s="15"/>
      <c r="E226" s="12"/>
      <c r="F226" s="12"/>
      <c r="G226" s="12"/>
    </row>
    <row r="227" spans="3:7" ht="12.75">
      <c r="C227" s="12"/>
      <c r="D227" s="15"/>
      <c r="E227" s="12"/>
      <c r="F227" s="12"/>
      <c r="G227" s="12"/>
    </row>
    <row r="228" spans="3:7" ht="12.75">
      <c r="C228" s="12"/>
      <c r="D228" s="15"/>
      <c r="E228" s="12"/>
      <c r="F228" s="12"/>
      <c r="G228" s="12"/>
    </row>
    <row r="229" spans="3:7" ht="12.75">
      <c r="C229" s="12"/>
      <c r="D229" s="15"/>
      <c r="E229" s="12"/>
      <c r="F229" s="12"/>
      <c r="G229" s="12"/>
    </row>
    <row r="230" spans="3:7" ht="12.75">
      <c r="C230" s="12"/>
      <c r="D230" s="15"/>
      <c r="E230" s="12"/>
      <c r="F230" s="12"/>
      <c r="G230" s="12"/>
    </row>
    <row r="231" spans="3:7" ht="12.75">
      <c r="C231" s="12"/>
      <c r="D231" s="15"/>
      <c r="E231" s="12"/>
      <c r="F231" s="12"/>
      <c r="G231" s="12"/>
    </row>
    <row r="232" spans="3:7" ht="12.75">
      <c r="C232" s="12"/>
      <c r="D232" s="15"/>
      <c r="E232" s="12"/>
      <c r="F232" s="12"/>
      <c r="G232" s="12"/>
    </row>
    <row r="233" spans="3:7" ht="12.75">
      <c r="C233" s="12"/>
      <c r="D233" s="15"/>
      <c r="E233" s="12"/>
      <c r="F233" s="12"/>
      <c r="G233" s="12"/>
    </row>
    <row r="234" spans="3:7" ht="12.75">
      <c r="C234" s="12"/>
      <c r="D234" s="15"/>
      <c r="E234" s="12"/>
      <c r="F234" s="12"/>
      <c r="G234" s="12"/>
    </row>
    <row r="235" spans="3:7" ht="12.75">
      <c r="C235" s="12"/>
      <c r="D235" s="15"/>
      <c r="E235" s="12"/>
      <c r="F235" s="12"/>
      <c r="G235" s="12"/>
    </row>
    <row r="236" spans="3:7" ht="12.75">
      <c r="C236" s="12"/>
      <c r="D236" s="15"/>
      <c r="E236" s="12"/>
      <c r="F236" s="12"/>
      <c r="G236" s="12"/>
    </row>
    <row r="237" spans="3:7" ht="12.75">
      <c r="C237" s="12"/>
      <c r="D237" s="15"/>
      <c r="E237" s="12"/>
      <c r="F237" s="12"/>
      <c r="G237" s="12"/>
    </row>
    <row r="238" spans="3:7" ht="12.75">
      <c r="C238" s="12"/>
      <c r="D238" s="15"/>
      <c r="E238" s="12"/>
      <c r="F238" s="12"/>
      <c r="G238" s="12"/>
    </row>
    <row r="239" spans="3:7" ht="12.75">
      <c r="C239" s="12"/>
      <c r="D239" s="15"/>
      <c r="E239" s="12"/>
      <c r="F239" s="12"/>
      <c r="G239" s="12"/>
    </row>
    <row r="240" spans="3:7" ht="12.75">
      <c r="C240" s="12"/>
      <c r="D240" s="15"/>
      <c r="E240" s="12"/>
      <c r="F240" s="12"/>
      <c r="G240" s="12"/>
    </row>
    <row r="241" spans="3:7" ht="12.75">
      <c r="C241" s="12"/>
      <c r="D241" s="15"/>
      <c r="E241" s="12"/>
      <c r="F241" s="12"/>
      <c r="G241" s="12"/>
    </row>
    <row r="242" spans="3:7" ht="12.75">
      <c r="C242" s="12"/>
      <c r="D242" s="15"/>
      <c r="E242" s="12"/>
      <c r="F242" s="12"/>
      <c r="G242" s="12"/>
    </row>
    <row r="243" spans="3:7" ht="12.75">
      <c r="C243" s="12"/>
      <c r="D243" s="15"/>
      <c r="E243" s="12"/>
      <c r="F243" s="12"/>
      <c r="G243" s="12"/>
    </row>
    <row r="244" spans="3:7" ht="12.75">
      <c r="C244" s="12"/>
      <c r="D244" s="15"/>
      <c r="E244" s="12"/>
      <c r="F244" s="12"/>
      <c r="G244" s="12"/>
    </row>
  </sheetData>
  <sheetProtection/>
  <mergeCells count="10">
    <mergeCell ref="A1:G1"/>
    <mergeCell ref="A2:G2"/>
    <mergeCell ref="F5:G5"/>
    <mergeCell ref="G6:G7"/>
    <mergeCell ref="F6:F7"/>
    <mergeCell ref="A4:E4"/>
    <mergeCell ref="D5:D7"/>
    <mergeCell ref="E5:E7"/>
    <mergeCell ref="A5:A7"/>
    <mergeCell ref="C5:C7"/>
  </mergeCells>
  <printOptions horizontalCentered="1"/>
  <pageMargins left="1.1811023622047245" right="0.3937007874015748" top="0.7874015748031497" bottom="0.7874015748031497" header="0.1968503937007874" footer="0.1968503937007874"/>
  <pageSetup fitToHeight="2" fitToWidth="1" horizontalDpi="600" verticalDpi="600" orientation="landscape" paperSize="9" scale="69" r:id="rId1"/>
  <headerFooter differentFirst="1" alignWithMargins="0">
    <oddHeader>&amp;C&amp;P</oddHeader>
  </headerFooter>
  <rowBreaks count="1" manualBreakCount="1">
    <brk id="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zoomScale="75" zoomScaleNormal="75" zoomScaleSheetLayoutView="70" workbookViewId="0" topLeftCell="A1">
      <pane xSplit="2" ySplit="8" topLeftCell="C71" activePane="bottomRight" state="frozen"/>
      <selection pane="topLeft" activeCell="D82" sqref="D82"/>
      <selection pane="topRight" activeCell="D82" sqref="D82"/>
      <selection pane="bottomLeft" activeCell="D82" sqref="D82"/>
      <selection pane="bottomRight" activeCell="C90" sqref="C90"/>
    </sheetView>
  </sheetViews>
  <sheetFormatPr defaultColWidth="9.00390625" defaultRowHeight="12.75"/>
  <cols>
    <col min="1" max="1" width="60.00390625" style="14" customWidth="1"/>
    <col min="2" max="2" width="0.37109375" style="14" hidden="1" customWidth="1"/>
    <col min="3" max="3" width="12.00390625" style="14" customWidth="1"/>
    <col min="4" max="5" width="11.375" style="14" customWidth="1"/>
    <col min="6" max="6" width="10.25390625" style="14" customWidth="1"/>
    <col min="7" max="7" width="8.375" style="14" customWidth="1"/>
    <col min="8" max="8" width="13.125" style="14" customWidth="1"/>
    <col min="9" max="9" width="10.125" style="14" customWidth="1"/>
    <col min="10" max="10" width="10.00390625" style="14" customWidth="1"/>
    <col min="11" max="11" width="10.375" style="14" customWidth="1"/>
    <col min="12" max="12" width="8.375" style="14" customWidth="1"/>
    <col min="13" max="13" width="10.00390625" style="14" bestFit="1" customWidth="1"/>
    <col min="14" max="14" width="10.125" style="14" bestFit="1" customWidth="1"/>
    <col min="15" max="15" width="10.875" style="14" bestFit="1" customWidth="1"/>
    <col min="16" max="16" width="10.375" style="14" customWidth="1"/>
    <col min="17" max="17" width="8.375" style="14" customWidth="1"/>
    <col min="18" max="18" width="13.875" style="14" customWidth="1"/>
    <col min="19" max="19" width="14.00390625" style="14" customWidth="1"/>
    <col min="20" max="20" width="11.125" style="14" customWidth="1"/>
    <col min="21" max="21" width="9.875" style="14" customWidth="1"/>
    <col min="22" max="22" width="9.375" style="14" customWidth="1"/>
    <col min="23" max="23" width="8.375" style="14" customWidth="1"/>
    <col min="24" max="16384" width="9.125" style="14" customWidth="1"/>
  </cols>
  <sheetData>
    <row r="1" spans="1:22" ht="15.75" customHeight="1">
      <c r="A1" s="338" t="s">
        <v>356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1" ht="15.75" customHeight="1" hidden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40"/>
    </row>
    <row r="3" spans="1:21" ht="12.75" customHeight="1" hidden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4" ht="13.5" thickBot="1">
      <c r="A4" s="75" t="s">
        <v>37</v>
      </c>
      <c r="B4" s="75"/>
      <c r="U4" s="24"/>
      <c r="V4" s="24" t="s">
        <v>94</v>
      </c>
      <c r="W4" s="30"/>
      <c r="X4" s="24"/>
    </row>
    <row r="5" spans="1:23" ht="13.5" customHeight="1">
      <c r="A5" s="342" t="s">
        <v>53</v>
      </c>
      <c r="B5" s="343" t="s">
        <v>4</v>
      </c>
      <c r="C5" s="327" t="s">
        <v>65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5"/>
      <c r="W5" s="30"/>
    </row>
    <row r="6" spans="1:23" ht="13.5" customHeight="1">
      <c r="A6" s="346"/>
      <c r="B6" s="347"/>
      <c r="C6" s="348" t="s">
        <v>66</v>
      </c>
      <c r="D6" s="233"/>
      <c r="E6" s="233"/>
      <c r="F6" s="233"/>
      <c r="G6" s="349"/>
      <c r="H6" s="350" t="s">
        <v>28</v>
      </c>
      <c r="I6" s="350"/>
      <c r="J6" s="350"/>
      <c r="K6" s="350"/>
      <c r="L6" s="350"/>
      <c r="M6" s="350" t="s">
        <v>22</v>
      </c>
      <c r="N6" s="350"/>
      <c r="O6" s="350"/>
      <c r="P6" s="350"/>
      <c r="Q6" s="350"/>
      <c r="R6" s="351" t="s">
        <v>67</v>
      </c>
      <c r="S6" s="349"/>
      <c r="T6" s="349"/>
      <c r="U6" s="349"/>
      <c r="V6" s="352"/>
      <c r="W6" s="30"/>
    </row>
    <row r="7" spans="1:23" ht="21.75" customHeight="1">
      <c r="A7" s="346"/>
      <c r="B7" s="353" t="s">
        <v>357</v>
      </c>
      <c r="C7" s="354"/>
      <c r="D7" s="355" t="s">
        <v>12</v>
      </c>
      <c r="E7" s="356" t="s">
        <v>84</v>
      </c>
      <c r="F7" s="356" t="s">
        <v>18</v>
      </c>
      <c r="G7" s="356"/>
      <c r="H7" s="356" t="str">
        <f>B7</f>
        <v>План на 
перше півріччя 
2019 року</v>
      </c>
      <c r="I7" s="355" t="s">
        <v>12</v>
      </c>
      <c r="J7" s="356" t="str">
        <f>E7</f>
        <v>касові            видатки</v>
      </c>
      <c r="K7" s="356" t="s">
        <v>18</v>
      </c>
      <c r="L7" s="356"/>
      <c r="M7" s="356" t="str">
        <f>H7</f>
        <v>План на 
перше півріччя 
2019 року</v>
      </c>
      <c r="N7" s="355" t="s">
        <v>12</v>
      </c>
      <c r="O7" s="356" t="str">
        <f>J7</f>
        <v>касові            видатки</v>
      </c>
      <c r="P7" s="356" t="s">
        <v>18</v>
      </c>
      <c r="Q7" s="356"/>
      <c r="R7" s="356" t="str">
        <f>M7</f>
        <v>План на 
перше півріччя 
2019 року</v>
      </c>
      <c r="S7" s="355" t="s">
        <v>12</v>
      </c>
      <c r="T7" s="356" t="str">
        <f>E7</f>
        <v>касові            видатки</v>
      </c>
      <c r="U7" s="356" t="s">
        <v>18</v>
      </c>
      <c r="V7" s="357"/>
      <c r="W7" s="30"/>
    </row>
    <row r="8" spans="1:23" ht="18.75" thickBot="1">
      <c r="A8" s="346"/>
      <c r="B8" s="358"/>
      <c r="C8" s="359"/>
      <c r="D8" s="360"/>
      <c r="E8" s="356"/>
      <c r="F8" s="361" t="s">
        <v>36</v>
      </c>
      <c r="G8" s="361" t="s">
        <v>35</v>
      </c>
      <c r="H8" s="233"/>
      <c r="I8" s="360"/>
      <c r="J8" s="356"/>
      <c r="K8" s="361" t="s">
        <v>36</v>
      </c>
      <c r="L8" s="361" t="s">
        <v>35</v>
      </c>
      <c r="M8" s="233"/>
      <c r="N8" s="360"/>
      <c r="O8" s="356"/>
      <c r="P8" s="361" t="s">
        <v>36</v>
      </c>
      <c r="Q8" s="361" t="s">
        <v>35</v>
      </c>
      <c r="R8" s="233"/>
      <c r="S8" s="360"/>
      <c r="T8" s="356"/>
      <c r="U8" s="361" t="s">
        <v>36</v>
      </c>
      <c r="V8" s="362" t="s">
        <v>35</v>
      </c>
      <c r="W8" s="30"/>
    </row>
    <row r="9" spans="1:22" s="584" customFormat="1" ht="12.75">
      <c r="A9" s="581" t="s">
        <v>272</v>
      </c>
      <c r="B9" s="582">
        <f>1224.5+77.6</f>
        <v>1302.1</v>
      </c>
      <c r="C9" s="608">
        <v>12069.7</v>
      </c>
      <c r="D9" s="608">
        <v>11086.345</v>
      </c>
      <c r="E9" s="608">
        <v>10953.237</v>
      </c>
      <c r="F9" s="608">
        <f>D9/C9*100</f>
        <v>91.85269725013877</v>
      </c>
      <c r="G9" s="608">
        <f>E9/C9*100</f>
        <v>90.74986950794136</v>
      </c>
      <c r="H9" s="608">
        <f>7925+1743.5</f>
        <v>9668.5</v>
      </c>
      <c r="I9" s="608">
        <f>7925+1743.5</f>
        <v>9668.5</v>
      </c>
      <c r="J9" s="608">
        <f>7883.884+1654.494</f>
        <v>9538.378</v>
      </c>
      <c r="K9" s="608">
        <f>I9/H9*100</f>
        <v>100</v>
      </c>
      <c r="L9" s="608">
        <f>J9/H9*100</f>
        <v>98.65416558928479</v>
      </c>
      <c r="M9" s="608">
        <f>5.7+91+120+2.4</f>
        <v>219.1</v>
      </c>
      <c r="N9" s="608">
        <v>164.6236</v>
      </c>
      <c r="O9" s="608">
        <v>164.6236</v>
      </c>
      <c r="P9" s="608">
        <f aca="true" t="shared" si="0" ref="P9:P14">N9/M9*100</f>
        <v>75.13628480146053</v>
      </c>
      <c r="Q9" s="608">
        <f>O9/M9*100</f>
        <v>75.13628480146053</v>
      </c>
      <c r="R9" s="608">
        <f aca="true" t="shared" si="1" ref="R9:T10">C9-H9-M9</f>
        <v>2182.100000000001</v>
      </c>
      <c r="S9" s="608">
        <f t="shared" si="1"/>
        <v>1253.2213999999994</v>
      </c>
      <c r="T9" s="608">
        <f t="shared" si="1"/>
        <v>1250.2353999999987</v>
      </c>
      <c r="U9" s="608">
        <f>S9/R9*100</f>
        <v>57.431895880115434</v>
      </c>
      <c r="V9" s="623">
        <f>T9/R9*100</f>
        <v>57.29505522203374</v>
      </c>
    </row>
    <row r="10" spans="1:22" s="584" customFormat="1" ht="15" customHeight="1">
      <c r="A10" s="581" t="s">
        <v>151</v>
      </c>
      <c r="B10" s="585"/>
      <c r="C10" s="608">
        <v>1884.97</v>
      </c>
      <c r="D10" s="608">
        <v>1274.49885</v>
      </c>
      <c r="E10" s="608">
        <v>1209.92124</v>
      </c>
      <c r="F10" s="608">
        <f>D10/C10*100</f>
        <v>67.61374716838995</v>
      </c>
      <c r="G10" s="608">
        <f>E10/C10*100</f>
        <v>64.18782473991628</v>
      </c>
      <c r="H10" s="608">
        <f>519.696+124.336</f>
        <v>644.032</v>
      </c>
      <c r="I10" s="608">
        <f>H10</f>
        <v>644.032</v>
      </c>
      <c r="J10" s="608">
        <f>518.88681+117.65735</f>
        <v>636.5441599999999</v>
      </c>
      <c r="K10" s="608">
        <f>I10/H10*100</f>
        <v>100</v>
      </c>
      <c r="L10" s="608">
        <f>J10/H10*100</f>
        <v>98.83734969690946</v>
      </c>
      <c r="M10" s="608">
        <f>0.595+5.01+14.64+0.3</f>
        <v>20.545</v>
      </c>
      <c r="N10" s="608">
        <f>0.395+4.175+11.96+0.3</f>
        <v>16.830000000000002</v>
      </c>
      <c r="O10" s="608">
        <f>0.21859+3.13068+4.47009+0.06227</f>
        <v>7.8816299999999995</v>
      </c>
      <c r="P10" s="608">
        <f t="shared" si="0"/>
        <v>81.91774154295449</v>
      </c>
      <c r="Q10" s="608">
        <f>O10/M10*100</f>
        <v>38.362764662935014</v>
      </c>
      <c r="R10" s="608">
        <f t="shared" si="1"/>
        <v>1220.393</v>
      </c>
      <c r="S10" s="608">
        <f t="shared" si="1"/>
        <v>613.6368499999999</v>
      </c>
      <c r="T10" s="608">
        <f t="shared" si="1"/>
        <v>565.49545</v>
      </c>
      <c r="U10" s="608">
        <f>S10/R10*100</f>
        <v>50.28190509122879</v>
      </c>
      <c r="V10" s="623">
        <f>T10/R10*100</f>
        <v>46.33715942323497</v>
      </c>
    </row>
    <row r="11" spans="1:24" s="584" customFormat="1" ht="16.5" customHeight="1">
      <c r="A11" s="581" t="s">
        <v>230</v>
      </c>
      <c r="B11" s="586">
        <f>19422.6+260</f>
        <v>19682.6</v>
      </c>
      <c r="C11" s="608">
        <v>340653.2365</v>
      </c>
      <c r="D11" s="608">
        <v>297145.16365</v>
      </c>
      <c r="E11" s="608">
        <v>294924.49671</v>
      </c>
      <c r="F11" s="608">
        <f aca="true" t="shared" si="2" ref="F11:F47">D11/C11*100</f>
        <v>87.22804653288536</v>
      </c>
      <c r="G11" s="608">
        <f aca="true" t="shared" si="3" ref="G11:G55">E11/C11*100</f>
        <v>86.57616165346487</v>
      </c>
      <c r="H11" s="608">
        <v>207978.351</v>
      </c>
      <c r="I11" s="608">
        <v>195135.60836</v>
      </c>
      <c r="J11" s="608">
        <v>194809.43659</v>
      </c>
      <c r="K11" s="608">
        <f>I11/H11*100</f>
        <v>93.82496179133568</v>
      </c>
      <c r="L11" s="608">
        <f>J11/H11*100</f>
        <v>93.66813211727023</v>
      </c>
      <c r="M11" s="608">
        <v>32211.458</v>
      </c>
      <c r="N11" s="608">
        <v>20842.31908</v>
      </c>
      <c r="O11" s="608">
        <v>20765.85101</v>
      </c>
      <c r="P11" s="608">
        <f t="shared" si="0"/>
        <v>64.70467459125881</v>
      </c>
      <c r="Q11" s="608">
        <f>O11/M11*100</f>
        <v>64.46728058692655</v>
      </c>
      <c r="R11" s="608">
        <f aca="true" t="shared" si="4" ref="R11:T48">C11-H11-M11</f>
        <v>100463.4275</v>
      </c>
      <c r="S11" s="608">
        <f t="shared" si="4"/>
        <v>81167.23620999999</v>
      </c>
      <c r="T11" s="608">
        <f t="shared" si="4"/>
        <v>79349.20910999998</v>
      </c>
      <c r="U11" s="608">
        <f aca="true" t="shared" si="5" ref="U11:U57">S11/R11*100</f>
        <v>80.79282006379881</v>
      </c>
      <c r="V11" s="617">
        <f>T11/R11*100</f>
        <v>78.98317933657995</v>
      </c>
      <c r="X11" s="588"/>
    </row>
    <row r="12" spans="1:22" s="584" customFormat="1" ht="12.75">
      <c r="A12" s="581" t="s">
        <v>201</v>
      </c>
      <c r="B12" s="586"/>
      <c r="C12" s="608">
        <v>33837.551</v>
      </c>
      <c r="D12" s="608">
        <v>31016.581</v>
      </c>
      <c r="E12" s="608">
        <v>29715.89851</v>
      </c>
      <c r="F12" s="608">
        <f t="shared" si="2"/>
        <v>91.66319690216352</v>
      </c>
      <c r="G12" s="608">
        <f t="shared" si="3"/>
        <v>87.81929433959331</v>
      </c>
      <c r="H12" s="608">
        <v>14754.735</v>
      </c>
      <c r="I12" s="608">
        <v>14507.603</v>
      </c>
      <c r="J12" s="608">
        <v>14308.00327</v>
      </c>
      <c r="K12" s="608">
        <f>I12/H12*100</f>
        <v>98.32506649560293</v>
      </c>
      <c r="L12" s="608">
        <f>J12/H12*100</f>
        <v>96.97228225379851</v>
      </c>
      <c r="M12" s="608">
        <v>2140.902</v>
      </c>
      <c r="N12" s="608">
        <v>1810.015</v>
      </c>
      <c r="O12" s="608">
        <v>1440.67708</v>
      </c>
      <c r="P12" s="608">
        <f t="shared" si="0"/>
        <v>84.54450507309537</v>
      </c>
      <c r="Q12" s="608">
        <f>O12/M12*100</f>
        <v>67.29299519548302</v>
      </c>
      <c r="R12" s="608">
        <f t="shared" si="4"/>
        <v>16941.913999999997</v>
      </c>
      <c r="S12" s="608">
        <f>D12-I12-N12</f>
        <v>14698.963</v>
      </c>
      <c r="T12" s="608">
        <f t="shared" si="4"/>
        <v>13967.21816</v>
      </c>
      <c r="U12" s="608">
        <v>99.9</v>
      </c>
      <c r="V12" s="617">
        <f aca="true" t="shared" si="6" ref="V12:V55">T12/R12*100</f>
        <v>82.44179589153859</v>
      </c>
    </row>
    <row r="13" spans="1:24" s="584" customFormat="1" ht="13.5" customHeight="1">
      <c r="A13" s="581" t="s">
        <v>148</v>
      </c>
      <c r="B13" s="586" t="e">
        <f>40787.3-#REF!</f>
        <v>#REF!</v>
      </c>
      <c r="C13" s="608">
        <f>491405998/1000-C63-C64-C65</f>
        <v>489241.19800000003</v>
      </c>
      <c r="D13" s="608">
        <f>483430750/1000-D63-D64-D65</f>
        <v>481414.25</v>
      </c>
      <c r="E13" s="608">
        <f>(472583759.93)/1000-E63-E64-E65</f>
        <v>470570.94604999997</v>
      </c>
      <c r="F13" s="608">
        <f t="shared" si="2"/>
        <v>98.4001862410614</v>
      </c>
      <c r="G13" s="608">
        <f t="shared" si="3"/>
        <v>96.1838348801525</v>
      </c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>
        <f t="shared" si="4"/>
        <v>489241.19800000003</v>
      </c>
      <c r="S13" s="608">
        <f>D13-I13-N13</f>
        <v>481414.25</v>
      </c>
      <c r="T13" s="608">
        <f t="shared" si="4"/>
        <v>470570.94604999997</v>
      </c>
      <c r="U13" s="608">
        <f t="shared" si="5"/>
        <v>98.4001862410614</v>
      </c>
      <c r="V13" s="617">
        <f t="shared" si="6"/>
        <v>96.1838348801525</v>
      </c>
      <c r="X13" s="588"/>
    </row>
    <row r="14" spans="1:22" s="584" customFormat="1" ht="12.75">
      <c r="A14" s="581" t="s">
        <v>152</v>
      </c>
      <c r="B14" s="586" t="e">
        <f>16321.8-B15-#REF!+5</f>
        <v>#REF!</v>
      </c>
      <c r="C14" s="608">
        <f>106823829/1000-C67</f>
        <v>87163.829</v>
      </c>
      <c r="D14" s="608">
        <f>101413153.7/1000-D67</f>
        <v>81753.15370000001</v>
      </c>
      <c r="E14" s="608">
        <f>101135856.33/1000-E67</f>
        <v>81475.85633</v>
      </c>
      <c r="F14" s="608">
        <f>D14/C14*100</f>
        <v>93.79252223993052</v>
      </c>
      <c r="G14" s="608">
        <f>E14/C14*100</f>
        <v>93.47438870543422</v>
      </c>
      <c r="H14" s="608">
        <v>53818.118</v>
      </c>
      <c r="I14" s="608">
        <v>53720.855</v>
      </c>
      <c r="J14" s="608">
        <v>53707.3099</v>
      </c>
      <c r="K14" s="608">
        <f>I14/H14*100</f>
        <v>99.81927461677496</v>
      </c>
      <c r="L14" s="608">
        <f>J14/H14*100</f>
        <v>99.794106326795</v>
      </c>
      <c r="M14" s="608">
        <v>16040.274</v>
      </c>
      <c r="N14" s="608">
        <v>12818.63997</v>
      </c>
      <c r="O14" s="608">
        <v>12686.49178</v>
      </c>
      <c r="P14" s="608">
        <f t="shared" si="0"/>
        <v>79.91534290499028</v>
      </c>
      <c r="Q14" s="608">
        <f>O14/M14*100</f>
        <v>79.09149045708322</v>
      </c>
      <c r="R14" s="608">
        <f t="shared" si="4"/>
        <v>17305.436999999998</v>
      </c>
      <c r="S14" s="608">
        <f t="shared" si="4"/>
        <v>15213.658730000006</v>
      </c>
      <c r="T14" s="608">
        <f t="shared" si="4"/>
        <v>15082.054649999995</v>
      </c>
      <c r="U14" s="608">
        <f t="shared" si="5"/>
        <v>87.91259492609177</v>
      </c>
      <c r="V14" s="617">
        <f>T14/R14*100</f>
        <v>87.15211670182033</v>
      </c>
    </row>
    <row r="15" spans="1:22" s="584" customFormat="1" ht="26.25" customHeight="1" hidden="1">
      <c r="A15" s="581" t="s">
        <v>86</v>
      </c>
      <c r="B15" s="586">
        <v>27</v>
      </c>
      <c r="C15" s="624"/>
      <c r="D15" s="608"/>
      <c r="E15" s="624"/>
      <c r="F15" s="608" t="e">
        <f t="shared" si="2"/>
        <v>#DIV/0!</v>
      </c>
      <c r="G15" s="608" t="e">
        <f t="shared" si="3"/>
        <v>#DIV/0!</v>
      </c>
      <c r="H15" s="624"/>
      <c r="I15" s="608"/>
      <c r="J15" s="608"/>
      <c r="K15" s="608"/>
      <c r="L15" s="625"/>
      <c r="M15" s="608"/>
      <c r="N15" s="608"/>
      <c r="O15" s="608"/>
      <c r="P15" s="608"/>
      <c r="Q15" s="625"/>
      <c r="R15" s="608">
        <f t="shared" si="4"/>
        <v>0</v>
      </c>
      <c r="S15" s="608">
        <f t="shared" si="4"/>
        <v>0</v>
      </c>
      <c r="T15" s="608">
        <f t="shared" si="4"/>
        <v>0</v>
      </c>
      <c r="U15" s="608" t="e">
        <f t="shared" si="5"/>
        <v>#DIV/0!</v>
      </c>
      <c r="V15" s="617" t="e">
        <f t="shared" si="6"/>
        <v>#DIV/0!</v>
      </c>
    </row>
    <row r="16" spans="1:22" s="584" customFormat="1" ht="12.75" hidden="1">
      <c r="A16" s="581" t="s">
        <v>55</v>
      </c>
      <c r="B16" s="586">
        <f>2146.1+100</f>
        <v>2246.1</v>
      </c>
      <c r="C16" s="624"/>
      <c r="D16" s="608"/>
      <c r="E16" s="624"/>
      <c r="F16" s="608" t="e">
        <f t="shared" si="2"/>
        <v>#DIV/0!</v>
      </c>
      <c r="G16" s="608" t="e">
        <f t="shared" si="3"/>
        <v>#DIV/0!</v>
      </c>
      <c r="H16" s="624"/>
      <c r="I16" s="608"/>
      <c r="J16" s="608"/>
      <c r="K16" s="608" t="e">
        <f>I16/H16*100</f>
        <v>#DIV/0!</v>
      </c>
      <c r="L16" s="608" t="e">
        <f>J16/H16*100</f>
        <v>#DIV/0!</v>
      </c>
      <c r="M16" s="608"/>
      <c r="N16" s="608"/>
      <c r="O16" s="608"/>
      <c r="P16" s="608" t="e">
        <f>N16/M16*100</f>
        <v>#DIV/0!</v>
      </c>
      <c r="Q16" s="608" t="e">
        <f>O16/M16*100</f>
        <v>#DIV/0!</v>
      </c>
      <c r="R16" s="608">
        <f t="shared" si="4"/>
        <v>0</v>
      </c>
      <c r="S16" s="608">
        <f t="shared" si="4"/>
        <v>0</v>
      </c>
      <c r="T16" s="608">
        <f t="shared" si="4"/>
        <v>0</v>
      </c>
      <c r="U16" s="625" t="e">
        <f t="shared" si="5"/>
        <v>#DIV/0!</v>
      </c>
      <c r="V16" s="617" t="e">
        <f t="shared" si="6"/>
        <v>#DIV/0!</v>
      </c>
    </row>
    <row r="17" spans="1:22" s="584" customFormat="1" ht="12.75" customHeight="1" hidden="1">
      <c r="A17" s="581" t="s">
        <v>42</v>
      </c>
      <c r="B17" s="586"/>
      <c r="C17" s="624"/>
      <c r="D17" s="608"/>
      <c r="E17" s="624"/>
      <c r="F17" s="608" t="e">
        <f t="shared" si="2"/>
        <v>#DIV/0!</v>
      </c>
      <c r="G17" s="608" t="e">
        <f t="shared" si="3"/>
        <v>#DIV/0!</v>
      </c>
      <c r="H17" s="624"/>
      <c r="I17" s="608"/>
      <c r="J17" s="608"/>
      <c r="K17" s="608"/>
      <c r="L17" s="608" t="e">
        <f>J17/H17*100</f>
        <v>#DIV/0!</v>
      </c>
      <c r="M17" s="608"/>
      <c r="N17" s="608"/>
      <c r="O17" s="608"/>
      <c r="P17" s="608"/>
      <c r="Q17" s="608"/>
      <c r="R17" s="608">
        <f t="shared" si="4"/>
        <v>0</v>
      </c>
      <c r="S17" s="608">
        <f>D17-I17-N17</f>
        <v>0</v>
      </c>
      <c r="T17" s="608">
        <f t="shared" si="4"/>
        <v>0</v>
      </c>
      <c r="U17" s="608" t="e">
        <f t="shared" si="5"/>
        <v>#DIV/0!</v>
      </c>
      <c r="V17" s="617" t="e">
        <f t="shared" si="6"/>
        <v>#DIV/0!</v>
      </c>
    </row>
    <row r="18" spans="1:22" s="584" customFormat="1" ht="12.75" customHeight="1" hidden="1">
      <c r="A18" s="581" t="s">
        <v>153</v>
      </c>
      <c r="B18" s="586">
        <v>200</v>
      </c>
      <c r="C18" s="624"/>
      <c r="D18" s="608"/>
      <c r="E18" s="624"/>
      <c r="F18" s="608" t="e">
        <f t="shared" si="2"/>
        <v>#DIV/0!</v>
      </c>
      <c r="G18" s="608" t="e">
        <f t="shared" si="3"/>
        <v>#DIV/0!</v>
      </c>
      <c r="H18" s="624"/>
      <c r="I18" s="608"/>
      <c r="J18" s="608"/>
      <c r="K18" s="608"/>
      <c r="L18" s="608"/>
      <c r="M18" s="608"/>
      <c r="N18" s="608"/>
      <c r="O18" s="608"/>
      <c r="P18" s="608"/>
      <c r="Q18" s="608"/>
      <c r="R18" s="608">
        <f t="shared" si="4"/>
        <v>0</v>
      </c>
      <c r="S18" s="608">
        <f t="shared" si="4"/>
        <v>0</v>
      </c>
      <c r="T18" s="608">
        <f t="shared" si="4"/>
        <v>0</v>
      </c>
      <c r="U18" s="608" t="e">
        <f t="shared" si="5"/>
        <v>#DIV/0!</v>
      </c>
      <c r="V18" s="617" t="e">
        <f t="shared" si="6"/>
        <v>#DIV/0!</v>
      </c>
    </row>
    <row r="19" spans="1:22" s="584" customFormat="1" ht="25.5">
      <c r="A19" s="581" t="s">
        <v>186</v>
      </c>
      <c r="B19" s="586"/>
      <c r="C19" s="608">
        <v>1265.19712</v>
      </c>
      <c r="D19" s="608">
        <v>793.62261</v>
      </c>
      <c r="E19" s="608">
        <v>756.65999</v>
      </c>
      <c r="F19" s="608">
        <f t="shared" si="2"/>
        <v>62.72719068472112</v>
      </c>
      <c r="G19" s="608">
        <f t="shared" si="3"/>
        <v>59.80569968417253</v>
      </c>
      <c r="H19" s="624"/>
      <c r="I19" s="608"/>
      <c r="J19" s="608"/>
      <c r="K19" s="608"/>
      <c r="L19" s="608"/>
      <c r="M19" s="608"/>
      <c r="N19" s="608"/>
      <c r="O19" s="608"/>
      <c r="P19" s="608"/>
      <c r="Q19" s="608"/>
      <c r="R19" s="608">
        <f>C19-H19-M19</f>
        <v>1265.19712</v>
      </c>
      <c r="S19" s="608">
        <f>D19-I19-N19</f>
        <v>793.62261</v>
      </c>
      <c r="T19" s="608">
        <f>E19-J19-O19</f>
        <v>756.65999</v>
      </c>
      <c r="U19" s="608">
        <f t="shared" si="5"/>
        <v>62.72719068472112</v>
      </c>
      <c r="V19" s="617">
        <f aca="true" t="shared" si="7" ref="V19:V29">T19/R19*100</f>
        <v>59.80569968417253</v>
      </c>
    </row>
    <row r="20" spans="1:24" s="584" customFormat="1" ht="12.75">
      <c r="A20" s="581" t="s">
        <v>331</v>
      </c>
      <c r="B20" s="586">
        <f>5494.6-B22</f>
        <v>5354.6</v>
      </c>
      <c r="C20" s="608">
        <v>76438.67256</v>
      </c>
      <c r="D20" s="608">
        <v>72488.62307</v>
      </c>
      <c r="E20" s="608">
        <v>71354.78432</v>
      </c>
      <c r="F20" s="608">
        <f>D20/C20*100</f>
        <v>94.83239392089202</v>
      </c>
      <c r="G20" s="608">
        <f>E20/C20*100</f>
        <v>93.34906262793949</v>
      </c>
      <c r="H20" s="608">
        <v>20345.792</v>
      </c>
      <c r="I20" s="608">
        <v>20204.067</v>
      </c>
      <c r="J20" s="608">
        <v>20149.96676</v>
      </c>
      <c r="K20" s="608">
        <f>I20/H20*100</f>
        <v>99.30341861353934</v>
      </c>
      <c r="L20" s="608">
        <f>J20/H20*100</f>
        <v>99.0375147843839</v>
      </c>
      <c r="M20" s="608">
        <v>3774.69456</v>
      </c>
      <c r="N20" s="608">
        <v>3083.71256</v>
      </c>
      <c r="O20" s="608">
        <v>2910.06575</v>
      </c>
      <c r="P20" s="608">
        <f>N20/M20*100</f>
        <v>81.69435992723078</v>
      </c>
      <c r="Q20" s="608">
        <f>O20/M20*100</f>
        <v>77.09407221547484</v>
      </c>
      <c r="R20" s="608">
        <f t="shared" si="4"/>
        <v>52318.186</v>
      </c>
      <c r="S20" s="608">
        <f t="shared" si="4"/>
        <v>49200.843510000006</v>
      </c>
      <c r="T20" s="608">
        <f t="shared" si="4"/>
        <v>48294.75181000001</v>
      </c>
      <c r="U20" s="608">
        <f>S20/R20*100</f>
        <v>94.04157000015255</v>
      </c>
      <c r="V20" s="617">
        <f t="shared" si="7"/>
        <v>92.30968330973862</v>
      </c>
      <c r="X20" s="588"/>
    </row>
    <row r="21" spans="1:24" s="584" customFormat="1" ht="25.5" hidden="1">
      <c r="A21" s="581" t="s">
        <v>185</v>
      </c>
      <c r="B21" s="586"/>
      <c r="C21" s="624"/>
      <c r="D21" s="608"/>
      <c r="E21" s="624"/>
      <c r="F21" s="608" t="e">
        <f aca="true" t="shared" si="8" ref="F21:F31">D21/C21*100</f>
        <v>#DIV/0!</v>
      </c>
      <c r="G21" s="608" t="e">
        <f aca="true" t="shared" si="9" ref="G21:G31">E21/C21*100</f>
        <v>#DIV/0!</v>
      </c>
      <c r="H21" s="624"/>
      <c r="I21" s="608"/>
      <c r="J21" s="608"/>
      <c r="K21" s="608"/>
      <c r="L21" s="608"/>
      <c r="M21" s="608"/>
      <c r="N21" s="608"/>
      <c r="O21" s="608"/>
      <c r="P21" s="608"/>
      <c r="Q21" s="625"/>
      <c r="R21" s="608">
        <f t="shared" si="4"/>
        <v>0</v>
      </c>
      <c r="S21" s="608">
        <f t="shared" si="4"/>
        <v>0</v>
      </c>
      <c r="T21" s="608">
        <f t="shared" si="4"/>
        <v>0</v>
      </c>
      <c r="U21" s="608" t="e">
        <f aca="true" t="shared" si="10" ref="U21:U26">S21/R21*100</f>
        <v>#DIV/0!</v>
      </c>
      <c r="V21" s="617" t="e">
        <f t="shared" si="7"/>
        <v>#DIV/0!</v>
      </c>
      <c r="X21" s="588"/>
    </row>
    <row r="22" spans="1:22" s="584" customFormat="1" ht="12.75" hidden="1">
      <c r="A22" s="581" t="s">
        <v>44</v>
      </c>
      <c r="B22" s="586">
        <v>140</v>
      </c>
      <c r="C22" s="624"/>
      <c r="D22" s="608"/>
      <c r="E22" s="624"/>
      <c r="F22" s="608" t="e">
        <f t="shared" si="8"/>
        <v>#DIV/0!</v>
      </c>
      <c r="G22" s="608" t="e">
        <f t="shared" si="9"/>
        <v>#DIV/0!</v>
      </c>
      <c r="H22" s="624"/>
      <c r="I22" s="608"/>
      <c r="J22" s="608"/>
      <c r="K22" s="608"/>
      <c r="L22" s="608" t="e">
        <f>J22/H22*100</f>
        <v>#DIV/0!</v>
      </c>
      <c r="M22" s="608"/>
      <c r="N22" s="608"/>
      <c r="O22" s="608"/>
      <c r="P22" s="608"/>
      <c r="Q22" s="625"/>
      <c r="R22" s="608">
        <f t="shared" si="4"/>
        <v>0</v>
      </c>
      <c r="S22" s="608">
        <f t="shared" si="4"/>
        <v>0</v>
      </c>
      <c r="T22" s="608">
        <f t="shared" si="4"/>
        <v>0</v>
      </c>
      <c r="U22" s="608" t="e">
        <f t="shared" si="10"/>
        <v>#DIV/0!</v>
      </c>
      <c r="V22" s="617" t="e">
        <f t="shared" si="7"/>
        <v>#DIV/0!</v>
      </c>
    </row>
    <row r="23" spans="1:22" s="584" customFormat="1" ht="12.75">
      <c r="A23" s="581" t="s">
        <v>231</v>
      </c>
      <c r="B23" s="586"/>
      <c r="C23" s="608">
        <v>5951.74122</v>
      </c>
      <c r="D23" s="608">
        <v>347.246</v>
      </c>
      <c r="E23" s="608">
        <v>220.41168</v>
      </c>
      <c r="F23" s="608">
        <f t="shared" si="8"/>
        <v>5.834359848058044</v>
      </c>
      <c r="G23" s="608">
        <f t="shared" si="9"/>
        <v>3.703314237845845</v>
      </c>
      <c r="H23" s="624"/>
      <c r="I23" s="608"/>
      <c r="J23" s="608"/>
      <c r="K23" s="608"/>
      <c r="L23" s="608"/>
      <c r="M23" s="608"/>
      <c r="N23" s="608"/>
      <c r="O23" s="608"/>
      <c r="P23" s="608"/>
      <c r="Q23" s="625"/>
      <c r="R23" s="608">
        <f t="shared" si="4"/>
        <v>5951.74122</v>
      </c>
      <c r="S23" s="608">
        <f t="shared" si="4"/>
        <v>347.246</v>
      </c>
      <c r="T23" s="608">
        <f t="shared" si="4"/>
        <v>220.41168</v>
      </c>
      <c r="U23" s="608">
        <f t="shared" si="10"/>
        <v>5.834359848058044</v>
      </c>
      <c r="V23" s="617">
        <f t="shared" si="7"/>
        <v>3.703314237845845</v>
      </c>
    </row>
    <row r="24" spans="1:22" s="584" customFormat="1" ht="12.75">
      <c r="A24" s="581" t="s">
        <v>332</v>
      </c>
      <c r="B24" s="586">
        <v>37</v>
      </c>
      <c r="C24" s="608">
        <v>125.35</v>
      </c>
      <c r="D24" s="608">
        <v>112.50861</v>
      </c>
      <c r="E24" s="608">
        <v>112.50861</v>
      </c>
      <c r="F24" s="608">
        <f t="shared" si="8"/>
        <v>89.7555723972876</v>
      </c>
      <c r="G24" s="608">
        <f t="shared" si="9"/>
        <v>89.7555723972876</v>
      </c>
      <c r="H24" s="624"/>
      <c r="I24" s="608"/>
      <c r="J24" s="608"/>
      <c r="K24" s="608"/>
      <c r="L24" s="608"/>
      <c r="M24" s="608"/>
      <c r="N24" s="608"/>
      <c r="O24" s="608"/>
      <c r="P24" s="608"/>
      <c r="Q24" s="625"/>
      <c r="R24" s="608">
        <f>C24-H24-M24</f>
        <v>125.35</v>
      </c>
      <c r="S24" s="608">
        <f t="shared" si="4"/>
        <v>112.50861</v>
      </c>
      <c r="T24" s="608">
        <f t="shared" si="4"/>
        <v>112.50861</v>
      </c>
      <c r="U24" s="608">
        <f t="shared" si="10"/>
        <v>89.7555723972876</v>
      </c>
      <c r="V24" s="617">
        <f t="shared" si="7"/>
        <v>89.7555723972876</v>
      </c>
    </row>
    <row r="25" spans="1:22" s="584" customFormat="1" ht="12.75">
      <c r="A25" s="581" t="s">
        <v>51</v>
      </c>
      <c r="B25" s="586">
        <v>200</v>
      </c>
      <c r="C25" s="608">
        <v>3192.468</v>
      </c>
      <c r="D25" s="608">
        <v>2919.4612</v>
      </c>
      <c r="E25" s="608">
        <v>2919.34434</v>
      </c>
      <c r="F25" s="608">
        <f t="shared" si="8"/>
        <v>91.44840919313836</v>
      </c>
      <c r="G25" s="608">
        <f t="shared" si="9"/>
        <v>91.44474870225795</v>
      </c>
      <c r="H25" s="608">
        <v>2037.986</v>
      </c>
      <c r="I25" s="608">
        <v>2037.986</v>
      </c>
      <c r="J25" s="608">
        <v>2037.986</v>
      </c>
      <c r="K25" s="608">
        <f>I25/H25*100</f>
        <v>100</v>
      </c>
      <c r="L25" s="608">
        <f>J25/H25*100</f>
        <v>100</v>
      </c>
      <c r="M25" s="608">
        <v>421.691</v>
      </c>
      <c r="N25" s="608">
        <v>351.51875</v>
      </c>
      <c r="O25" s="608">
        <v>351.51875</v>
      </c>
      <c r="P25" s="608">
        <f>N25/M25*100</f>
        <v>83.35931997600139</v>
      </c>
      <c r="Q25" s="608">
        <f>O25/M25*100</f>
        <v>83.35931997600139</v>
      </c>
      <c r="R25" s="608">
        <f>C25-H25-M25</f>
        <v>732.7909999999997</v>
      </c>
      <c r="S25" s="608">
        <f t="shared" si="4"/>
        <v>529.9564500000001</v>
      </c>
      <c r="T25" s="608">
        <f t="shared" si="4"/>
        <v>529.83959</v>
      </c>
      <c r="U25" s="608">
        <f t="shared" si="10"/>
        <v>72.3202727653588</v>
      </c>
      <c r="V25" s="617">
        <f t="shared" si="7"/>
        <v>72.30432551709836</v>
      </c>
    </row>
    <row r="26" spans="1:22" s="584" customFormat="1" ht="12.75">
      <c r="A26" s="581" t="s">
        <v>236</v>
      </c>
      <c r="B26" s="586"/>
      <c r="C26" s="608">
        <v>1700</v>
      </c>
      <c r="D26" s="608">
        <v>270.88398</v>
      </c>
      <c r="E26" s="608">
        <f>D26</f>
        <v>270.88398</v>
      </c>
      <c r="F26" s="608">
        <f t="shared" si="8"/>
        <v>15.934351764705884</v>
      </c>
      <c r="G26" s="608">
        <f t="shared" si="9"/>
        <v>15.934351764705884</v>
      </c>
      <c r="H26" s="624"/>
      <c r="I26" s="608"/>
      <c r="J26" s="608"/>
      <c r="K26" s="608"/>
      <c r="L26" s="608"/>
      <c r="M26" s="608"/>
      <c r="N26" s="608"/>
      <c r="O26" s="608"/>
      <c r="P26" s="608"/>
      <c r="Q26" s="608"/>
      <c r="R26" s="608">
        <f>C26-H26-M26</f>
        <v>1700</v>
      </c>
      <c r="S26" s="608">
        <f>D26-I26-N26</f>
        <v>270.88398</v>
      </c>
      <c r="T26" s="608">
        <f>E26-J26-O26</f>
        <v>270.88398</v>
      </c>
      <c r="U26" s="608">
        <f t="shared" si="10"/>
        <v>15.934351764705884</v>
      </c>
      <c r="V26" s="617">
        <f t="shared" si="7"/>
        <v>15.934351764705884</v>
      </c>
    </row>
    <row r="27" spans="1:22" s="584" customFormat="1" ht="12.75">
      <c r="A27" s="581" t="s">
        <v>333</v>
      </c>
      <c r="B27" s="586"/>
      <c r="C27" s="608">
        <v>1930.6</v>
      </c>
      <c r="D27" s="608">
        <v>890.39403</v>
      </c>
      <c r="E27" s="608">
        <v>890.39403</v>
      </c>
      <c r="F27" s="608">
        <f t="shared" si="8"/>
        <v>46.12006785455299</v>
      </c>
      <c r="G27" s="608">
        <f t="shared" si="9"/>
        <v>46.12006785455299</v>
      </c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>
        <f t="shared" si="4"/>
        <v>1930.6</v>
      </c>
      <c r="S27" s="608">
        <f t="shared" si="4"/>
        <v>890.39403</v>
      </c>
      <c r="T27" s="608">
        <f t="shared" si="4"/>
        <v>890.39403</v>
      </c>
      <c r="U27" s="608">
        <f t="shared" si="5"/>
        <v>46.12006785455299</v>
      </c>
      <c r="V27" s="617">
        <f t="shared" si="7"/>
        <v>46.12006785455299</v>
      </c>
    </row>
    <row r="28" spans="1:22" s="584" customFormat="1" ht="12.75">
      <c r="A28" s="581" t="s">
        <v>198</v>
      </c>
      <c r="B28" s="586"/>
      <c r="C28" s="608">
        <v>2698.301</v>
      </c>
      <c r="D28" s="608">
        <v>2088.786</v>
      </c>
      <c r="E28" s="608">
        <v>2088.666</v>
      </c>
      <c r="F28" s="608">
        <f t="shared" si="8"/>
        <v>77.41115613120998</v>
      </c>
      <c r="G28" s="608">
        <f t="shared" si="9"/>
        <v>77.40670888829676</v>
      </c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>
        <f t="shared" si="4"/>
        <v>2698.301</v>
      </c>
      <c r="S28" s="608">
        <f t="shared" si="4"/>
        <v>2088.786</v>
      </c>
      <c r="T28" s="608">
        <f t="shared" si="4"/>
        <v>2088.666</v>
      </c>
      <c r="U28" s="608">
        <f t="shared" si="5"/>
        <v>77.41115613120998</v>
      </c>
      <c r="V28" s="617">
        <f t="shared" si="7"/>
        <v>77.40670888829676</v>
      </c>
    </row>
    <row r="29" spans="1:22" s="584" customFormat="1" ht="12.75">
      <c r="A29" s="581" t="s">
        <v>334</v>
      </c>
      <c r="B29" s="586"/>
      <c r="C29" s="608">
        <v>4011</v>
      </c>
      <c r="D29" s="608">
        <v>1077.96231</v>
      </c>
      <c r="E29" s="608">
        <v>1077.96231</v>
      </c>
      <c r="F29" s="608">
        <f t="shared" si="8"/>
        <v>26.875151084517572</v>
      </c>
      <c r="G29" s="608">
        <f t="shared" si="9"/>
        <v>26.875151084517572</v>
      </c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>
        <f t="shared" si="4"/>
        <v>4011</v>
      </c>
      <c r="S29" s="608">
        <f t="shared" si="4"/>
        <v>1077.96231</v>
      </c>
      <c r="T29" s="608">
        <f t="shared" si="4"/>
        <v>1077.96231</v>
      </c>
      <c r="U29" s="608">
        <f t="shared" si="5"/>
        <v>26.875151084517572</v>
      </c>
      <c r="V29" s="617">
        <f t="shared" si="7"/>
        <v>26.875151084517572</v>
      </c>
    </row>
    <row r="30" spans="1:22" s="584" customFormat="1" ht="12.75" hidden="1">
      <c r="A30" s="581" t="s">
        <v>258</v>
      </c>
      <c r="B30" s="586"/>
      <c r="C30" s="624"/>
      <c r="D30" s="608"/>
      <c r="E30" s="608"/>
      <c r="F30" s="608" t="e">
        <f t="shared" si="8"/>
        <v>#DIV/0!</v>
      </c>
      <c r="G30" s="608" t="e">
        <f t="shared" si="9"/>
        <v>#DIV/0!</v>
      </c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>
        <f t="shared" si="4"/>
        <v>0</v>
      </c>
      <c r="S30" s="608">
        <f t="shared" si="4"/>
        <v>0</v>
      </c>
      <c r="T30" s="608">
        <f t="shared" si="4"/>
        <v>0</v>
      </c>
      <c r="U30" s="608" t="e">
        <f t="shared" si="5"/>
        <v>#DIV/0!</v>
      </c>
      <c r="V30" s="609" t="e">
        <f t="shared" si="6"/>
        <v>#DIV/0!</v>
      </c>
    </row>
    <row r="31" spans="1:22" s="584" customFormat="1" ht="12.75">
      <c r="A31" s="581" t="s">
        <v>187</v>
      </c>
      <c r="B31" s="586"/>
      <c r="C31" s="608">
        <v>340</v>
      </c>
      <c r="D31" s="608">
        <v>260</v>
      </c>
      <c r="E31" s="608">
        <v>118</v>
      </c>
      <c r="F31" s="608">
        <f t="shared" si="8"/>
        <v>76.47058823529412</v>
      </c>
      <c r="G31" s="608">
        <f t="shared" si="9"/>
        <v>34.705882352941174</v>
      </c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>
        <f t="shared" si="4"/>
        <v>340</v>
      </c>
      <c r="S31" s="608">
        <f t="shared" si="4"/>
        <v>260</v>
      </c>
      <c r="T31" s="608">
        <f t="shared" si="4"/>
        <v>118</v>
      </c>
      <c r="U31" s="608">
        <f t="shared" si="5"/>
        <v>76.47058823529412</v>
      </c>
      <c r="V31" s="609">
        <f t="shared" si="6"/>
        <v>34.705882352941174</v>
      </c>
    </row>
    <row r="32" spans="1:22" s="532" customFormat="1" ht="12.75">
      <c r="A32" s="590" t="s">
        <v>165</v>
      </c>
      <c r="B32" s="591"/>
      <c r="C32" s="626">
        <f>C33+C34</f>
        <v>8959.492</v>
      </c>
      <c r="D32" s="376">
        <f>D33+D34</f>
        <v>911.84783</v>
      </c>
      <c r="E32" s="626">
        <f>E33+E34</f>
        <v>911.84783</v>
      </c>
      <c r="F32" s="376">
        <f>D32/C32*100</f>
        <v>10.17745012775278</v>
      </c>
      <c r="G32" s="376">
        <f>E32/C32*100</f>
        <v>10.17745012775278</v>
      </c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>
        <f t="shared" si="4"/>
        <v>8959.492</v>
      </c>
      <c r="S32" s="376">
        <f t="shared" si="4"/>
        <v>911.84783</v>
      </c>
      <c r="T32" s="376">
        <f t="shared" si="4"/>
        <v>911.84783</v>
      </c>
      <c r="U32" s="376">
        <f t="shared" si="5"/>
        <v>10.17745012775278</v>
      </c>
      <c r="V32" s="627">
        <f t="shared" si="6"/>
        <v>10.17745012775278</v>
      </c>
    </row>
    <row r="33" spans="1:22" s="584" customFormat="1" ht="12.75">
      <c r="A33" s="581" t="s">
        <v>261</v>
      </c>
      <c r="B33" s="586"/>
      <c r="C33" s="608">
        <v>4959.075</v>
      </c>
      <c r="D33" s="608">
        <v>911.84783</v>
      </c>
      <c r="E33" s="608">
        <f>D33</f>
        <v>911.84783</v>
      </c>
      <c r="F33" s="608">
        <f t="shared" si="2"/>
        <v>18.38745794326563</v>
      </c>
      <c r="G33" s="608">
        <f t="shared" si="3"/>
        <v>18.38745794326563</v>
      </c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>
        <f aca="true" t="shared" si="11" ref="R33:R40">C33-H33-M33</f>
        <v>4959.075</v>
      </c>
      <c r="S33" s="608">
        <f aca="true" t="shared" si="12" ref="S33:S40">D33-I33-N33</f>
        <v>911.84783</v>
      </c>
      <c r="T33" s="608">
        <f aca="true" t="shared" si="13" ref="T33:T40">E33-J33-O33</f>
        <v>911.84783</v>
      </c>
      <c r="U33" s="608">
        <f aca="true" t="shared" si="14" ref="U33:U40">S33/R33*100</f>
        <v>18.38745794326563</v>
      </c>
      <c r="V33" s="617">
        <f>T33/R33*100</f>
        <v>18.38745794326563</v>
      </c>
    </row>
    <row r="34" spans="1:22" s="584" customFormat="1" ht="38.25">
      <c r="A34" s="581" t="s">
        <v>199</v>
      </c>
      <c r="B34" s="586"/>
      <c r="C34" s="608">
        <v>4000.417</v>
      </c>
      <c r="D34" s="608">
        <v>0</v>
      </c>
      <c r="E34" s="608">
        <v>0</v>
      </c>
      <c r="F34" s="608">
        <f t="shared" si="2"/>
        <v>0</v>
      </c>
      <c r="G34" s="608">
        <f t="shared" si="3"/>
        <v>0</v>
      </c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>
        <f t="shared" si="11"/>
        <v>4000.417</v>
      </c>
      <c r="S34" s="608">
        <f t="shared" si="12"/>
        <v>0</v>
      </c>
      <c r="T34" s="608">
        <f t="shared" si="13"/>
        <v>0</v>
      </c>
      <c r="U34" s="608">
        <f t="shared" si="14"/>
        <v>0</v>
      </c>
      <c r="V34" s="617">
        <f aca="true" t="shared" si="15" ref="V34:V40">T34/R34*100</f>
        <v>0</v>
      </c>
    </row>
    <row r="35" spans="1:22" s="584" customFormat="1" ht="51" customHeight="1" hidden="1">
      <c r="A35" s="581" t="s">
        <v>166</v>
      </c>
      <c r="B35" s="586"/>
      <c r="C35" s="583"/>
      <c r="D35" s="583"/>
      <c r="E35" s="583"/>
      <c r="F35" s="583" t="e">
        <f t="shared" si="2"/>
        <v>#DIV/0!</v>
      </c>
      <c r="G35" s="583" t="e">
        <f t="shared" si="3"/>
        <v>#DIV/0!</v>
      </c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>
        <f t="shared" si="11"/>
        <v>0</v>
      </c>
      <c r="S35" s="583">
        <f t="shared" si="12"/>
        <v>0</v>
      </c>
      <c r="T35" s="583">
        <f t="shared" si="13"/>
        <v>0</v>
      </c>
      <c r="U35" s="583" t="e">
        <f t="shared" si="14"/>
        <v>#DIV/0!</v>
      </c>
      <c r="V35" s="587" t="e">
        <f t="shared" si="15"/>
        <v>#DIV/0!</v>
      </c>
    </row>
    <row r="36" spans="1:22" s="584" customFormat="1" ht="51" hidden="1">
      <c r="A36" s="581" t="s">
        <v>167</v>
      </c>
      <c r="B36" s="586"/>
      <c r="C36" s="583"/>
      <c r="D36" s="583"/>
      <c r="E36" s="583"/>
      <c r="F36" s="583" t="e">
        <f t="shared" si="2"/>
        <v>#DIV/0!</v>
      </c>
      <c r="G36" s="583" t="e">
        <f t="shared" si="3"/>
        <v>#DIV/0!</v>
      </c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>
        <f t="shared" si="11"/>
        <v>0</v>
      </c>
      <c r="S36" s="583">
        <f t="shared" si="12"/>
        <v>0</v>
      </c>
      <c r="T36" s="583">
        <f t="shared" si="13"/>
        <v>0</v>
      </c>
      <c r="U36" s="583" t="e">
        <f t="shared" si="14"/>
        <v>#DIV/0!</v>
      </c>
      <c r="V36" s="587" t="e">
        <f t="shared" si="15"/>
        <v>#DIV/0!</v>
      </c>
    </row>
    <row r="37" spans="1:22" s="584" customFormat="1" ht="38.25" customHeight="1" hidden="1">
      <c r="A37" s="581" t="s">
        <v>122</v>
      </c>
      <c r="B37" s="586"/>
      <c r="C37" s="583"/>
      <c r="D37" s="583"/>
      <c r="E37" s="583"/>
      <c r="F37" s="583" t="e">
        <f t="shared" si="2"/>
        <v>#DIV/0!</v>
      </c>
      <c r="G37" s="583" t="e">
        <f t="shared" si="3"/>
        <v>#DIV/0!</v>
      </c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>
        <f t="shared" si="11"/>
        <v>0</v>
      </c>
      <c r="S37" s="583">
        <f t="shared" si="12"/>
        <v>0</v>
      </c>
      <c r="T37" s="583">
        <f t="shared" si="13"/>
        <v>0</v>
      </c>
      <c r="U37" s="583" t="e">
        <f t="shared" si="14"/>
        <v>#DIV/0!</v>
      </c>
      <c r="V37" s="587" t="e">
        <f t="shared" si="15"/>
        <v>#DIV/0!</v>
      </c>
    </row>
    <row r="38" spans="1:22" s="584" customFormat="1" ht="25.5" hidden="1">
      <c r="A38" s="581" t="s">
        <v>123</v>
      </c>
      <c r="B38" s="586"/>
      <c r="C38" s="583"/>
      <c r="D38" s="583"/>
      <c r="E38" s="583"/>
      <c r="F38" s="583" t="e">
        <f t="shared" si="2"/>
        <v>#DIV/0!</v>
      </c>
      <c r="G38" s="583" t="e">
        <f t="shared" si="3"/>
        <v>#DIV/0!</v>
      </c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>
        <f t="shared" si="11"/>
        <v>0</v>
      </c>
      <c r="S38" s="583">
        <f t="shared" si="12"/>
        <v>0</v>
      </c>
      <c r="T38" s="583">
        <f t="shared" si="13"/>
        <v>0</v>
      </c>
      <c r="U38" s="583" t="e">
        <f t="shared" si="14"/>
        <v>#DIV/0!</v>
      </c>
      <c r="V38" s="587" t="e">
        <f>T38/R38*100</f>
        <v>#DIV/0!</v>
      </c>
    </row>
    <row r="39" spans="1:22" s="584" customFormat="1" ht="38.25" hidden="1">
      <c r="A39" s="581" t="s">
        <v>124</v>
      </c>
      <c r="B39" s="586"/>
      <c r="C39" s="583"/>
      <c r="D39" s="583"/>
      <c r="E39" s="583"/>
      <c r="F39" s="583" t="e">
        <f t="shared" si="2"/>
        <v>#DIV/0!</v>
      </c>
      <c r="G39" s="583" t="e">
        <f t="shared" si="3"/>
        <v>#DIV/0!</v>
      </c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>
        <f t="shared" si="11"/>
        <v>0</v>
      </c>
      <c r="S39" s="583">
        <f t="shared" si="12"/>
        <v>0</v>
      </c>
      <c r="T39" s="583">
        <f t="shared" si="13"/>
        <v>0</v>
      </c>
      <c r="U39" s="583" t="e">
        <f t="shared" si="14"/>
        <v>#DIV/0!</v>
      </c>
      <c r="V39" s="587" t="e">
        <f t="shared" si="15"/>
        <v>#DIV/0!</v>
      </c>
    </row>
    <row r="40" spans="1:22" s="584" customFormat="1" ht="25.5" hidden="1">
      <c r="A40" s="581" t="s">
        <v>125</v>
      </c>
      <c r="B40" s="586"/>
      <c r="C40" s="583"/>
      <c r="D40" s="583"/>
      <c r="E40" s="583"/>
      <c r="F40" s="583" t="e">
        <f t="shared" si="2"/>
        <v>#DIV/0!</v>
      </c>
      <c r="G40" s="583" t="e">
        <f t="shared" si="3"/>
        <v>#DIV/0!</v>
      </c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>
        <f t="shared" si="11"/>
        <v>0</v>
      </c>
      <c r="S40" s="583">
        <f t="shared" si="12"/>
        <v>0</v>
      </c>
      <c r="T40" s="583">
        <f t="shared" si="13"/>
        <v>0</v>
      </c>
      <c r="U40" s="583" t="e">
        <f t="shared" si="14"/>
        <v>#DIV/0!</v>
      </c>
      <c r="V40" s="587" t="e">
        <f t="shared" si="15"/>
        <v>#DIV/0!</v>
      </c>
    </row>
    <row r="41" spans="1:22" s="584" customFormat="1" ht="38.25" hidden="1">
      <c r="A41" s="581" t="s">
        <v>114</v>
      </c>
      <c r="B41" s="586"/>
      <c r="C41" s="583"/>
      <c r="D41" s="583"/>
      <c r="E41" s="583"/>
      <c r="F41" s="583" t="e">
        <f t="shared" si="2"/>
        <v>#DIV/0!</v>
      </c>
      <c r="G41" s="583" t="e">
        <f t="shared" si="3"/>
        <v>#DIV/0!</v>
      </c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>
        <f t="shared" si="4"/>
        <v>0</v>
      </c>
      <c r="S41" s="583">
        <f t="shared" si="4"/>
        <v>0</v>
      </c>
      <c r="T41" s="583">
        <f t="shared" si="4"/>
        <v>0</v>
      </c>
      <c r="U41" s="583" t="e">
        <f t="shared" si="5"/>
        <v>#DIV/0!</v>
      </c>
      <c r="V41" s="587" t="e">
        <f t="shared" si="6"/>
        <v>#DIV/0!</v>
      </c>
    </row>
    <row r="42" spans="1:22" s="584" customFormat="1" ht="38.25" hidden="1">
      <c r="A42" s="581" t="s">
        <v>113</v>
      </c>
      <c r="B42" s="586"/>
      <c r="C42" s="583"/>
      <c r="D42" s="583"/>
      <c r="E42" s="583"/>
      <c r="F42" s="583" t="e">
        <f t="shared" si="2"/>
        <v>#DIV/0!</v>
      </c>
      <c r="G42" s="583" t="e">
        <f t="shared" si="3"/>
        <v>#DIV/0!</v>
      </c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>
        <f t="shared" si="4"/>
        <v>0</v>
      </c>
      <c r="S42" s="583">
        <f t="shared" si="4"/>
        <v>0</v>
      </c>
      <c r="T42" s="583">
        <f t="shared" si="4"/>
        <v>0</v>
      </c>
      <c r="U42" s="583" t="e">
        <f t="shared" si="5"/>
        <v>#DIV/0!</v>
      </c>
      <c r="V42" s="587" t="e">
        <f t="shared" si="6"/>
        <v>#DIV/0!</v>
      </c>
    </row>
    <row r="43" spans="1:22" s="584" customFormat="1" ht="38.25" customHeight="1" hidden="1">
      <c r="A43" s="581" t="s">
        <v>112</v>
      </c>
      <c r="B43" s="586"/>
      <c r="C43" s="583"/>
      <c r="D43" s="583"/>
      <c r="E43" s="583"/>
      <c r="F43" s="583" t="e">
        <f t="shared" si="2"/>
        <v>#DIV/0!</v>
      </c>
      <c r="G43" s="583" t="e">
        <f t="shared" si="3"/>
        <v>#DIV/0!</v>
      </c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>
        <f t="shared" si="4"/>
        <v>0</v>
      </c>
      <c r="S43" s="583">
        <f>D43-I43-N43</f>
        <v>0</v>
      </c>
      <c r="T43" s="583">
        <f>E43-J43-O43</f>
        <v>0</v>
      </c>
      <c r="U43" s="583" t="e">
        <f t="shared" si="5"/>
        <v>#DIV/0!</v>
      </c>
      <c r="V43" s="587" t="e">
        <f t="shared" si="6"/>
        <v>#DIV/0!</v>
      </c>
    </row>
    <row r="44" spans="1:22" s="584" customFormat="1" ht="25.5" hidden="1">
      <c r="A44" s="581" t="s">
        <v>111</v>
      </c>
      <c r="B44" s="586"/>
      <c r="C44" s="583"/>
      <c r="D44" s="583"/>
      <c r="E44" s="583"/>
      <c r="F44" s="583" t="e">
        <f t="shared" si="2"/>
        <v>#DIV/0!</v>
      </c>
      <c r="G44" s="583" t="e">
        <f t="shared" si="3"/>
        <v>#DIV/0!</v>
      </c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>
        <f t="shared" si="4"/>
        <v>0</v>
      </c>
      <c r="S44" s="583">
        <f>D44-I44-N44</f>
        <v>0</v>
      </c>
      <c r="T44" s="583">
        <f>E44-J44-O44</f>
        <v>0</v>
      </c>
      <c r="U44" s="583" t="e">
        <f t="shared" si="5"/>
        <v>#DIV/0!</v>
      </c>
      <c r="V44" s="587" t="e">
        <f t="shared" si="6"/>
        <v>#DIV/0!</v>
      </c>
    </row>
    <row r="45" spans="1:22" s="584" customFormat="1" ht="25.5" hidden="1">
      <c r="A45" s="581" t="s">
        <v>110</v>
      </c>
      <c r="B45" s="586"/>
      <c r="C45" s="583"/>
      <c r="D45" s="583"/>
      <c r="E45" s="583"/>
      <c r="F45" s="583" t="e">
        <f t="shared" si="2"/>
        <v>#DIV/0!</v>
      </c>
      <c r="G45" s="583" t="e">
        <f t="shared" si="3"/>
        <v>#DIV/0!</v>
      </c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>
        <f t="shared" si="4"/>
        <v>0</v>
      </c>
      <c r="S45" s="583">
        <f t="shared" si="4"/>
        <v>0</v>
      </c>
      <c r="T45" s="583">
        <f t="shared" si="4"/>
        <v>0</v>
      </c>
      <c r="U45" s="583" t="e">
        <f t="shared" si="5"/>
        <v>#DIV/0!</v>
      </c>
      <c r="V45" s="589" t="e">
        <f t="shared" si="6"/>
        <v>#DIV/0!</v>
      </c>
    </row>
    <row r="46" spans="1:22" s="584" customFormat="1" ht="25.5" hidden="1">
      <c r="A46" s="581" t="s">
        <v>105</v>
      </c>
      <c r="B46" s="586"/>
      <c r="C46" s="583"/>
      <c r="D46" s="583"/>
      <c r="E46" s="583"/>
      <c r="F46" s="583" t="e">
        <f t="shared" si="2"/>
        <v>#DIV/0!</v>
      </c>
      <c r="G46" s="583" t="e">
        <f t="shared" si="3"/>
        <v>#DIV/0!</v>
      </c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>
        <f>C46-H46-M46</f>
        <v>0</v>
      </c>
      <c r="S46" s="583">
        <f t="shared" si="4"/>
        <v>0</v>
      </c>
      <c r="T46" s="583">
        <f t="shared" si="4"/>
        <v>0</v>
      </c>
      <c r="U46" s="583" t="e">
        <f t="shared" si="5"/>
        <v>#DIV/0!</v>
      </c>
      <c r="V46" s="589" t="e">
        <f t="shared" si="6"/>
        <v>#DIV/0!</v>
      </c>
    </row>
    <row r="47" spans="1:22" s="584" customFormat="1" ht="25.5" hidden="1">
      <c r="A47" s="581" t="s">
        <v>88</v>
      </c>
      <c r="B47" s="586"/>
      <c r="C47" s="583"/>
      <c r="D47" s="583"/>
      <c r="E47" s="583"/>
      <c r="F47" s="583" t="e">
        <f t="shared" si="2"/>
        <v>#DIV/0!</v>
      </c>
      <c r="G47" s="583" t="e">
        <f t="shared" si="3"/>
        <v>#DIV/0!</v>
      </c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>
        <f>C47-H47-M47</f>
        <v>0</v>
      </c>
      <c r="S47" s="583">
        <f t="shared" si="4"/>
        <v>0</v>
      </c>
      <c r="T47" s="583">
        <f t="shared" si="4"/>
        <v>0</v>
      </c>
      <c r="U47" s="583" t="e">
        <f t="shared" si="5"/>
        <v>#DIV/0!</v>
      </c>
      <c r="V47" s="589" t="e">
        <f t="shared" si="6"/>
        <v>#DIV/0!</v>
      </c>
    </row>
    <row r="48" spans="1:22" s="584" customFormat="1" ht="25.5" hidden="1">
      <c r="A48" s="581" t="s">
        <v>33</v>
      </c>
      <c r="B48" s="586"/>
      <c r="C48" s="583"/>
      <c r="D48" s="583"/>
      <c r="E48" s="583"/>
      <c r="F48" s="583"/>
      <c r="G48" s="583" t="e">
        <f t="shared" si="3"/>
        <v>#DIV/0!</v>
      </c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>
        <f t="shared" si="4"/>
        <v>0</v>
      </c>
      <c r="S48" s="583">
        <f>D48-I48-N48</f>
        <v>0</v>
      </c>
      <c r="T48" s="583">
        <f>E48-J48-O48</f>
        <v>0</v>
      </c>
      <c r="U48" s="583" t="e">
        <f t="shared" si="5"/>
        <v>#DIV/0!</v>
      </c>
      <c r="V48" s="587" t="e">
        <f t="shared" si="6"/>
        <v>#DIV/0!</v>
      </c>
    </row>
    <row r="49" spans="1:22" s="584" customFormat="1" ht="12.75" customHeight="1" hidden="1">
      <c r="A49" s="581" t="s">
        <v>41</v>
      </c>
      <c r="B49" s="586"/>
      <c r="C49" s="583"/>
      <c r="D49" s="583">
        <f>C49</f>
        <v>0</v>
      </c>
      <c r="E49" s="583"/>
      <c r="F49" s="583" t="e">
        <f aca="true" t="shared" si="16" ref="F49:F55">D49/C49*100</f>
        <v>#DIV/0!</v>
      </c>
      <c r="G49" s="583" t="e">
        <f t="shared" si="3"/>
        <v>#DIV/0!</v>
      </c>
      <c r="H49" s="583"/>
      <c r="I49" s="583">
        <f>H49</f>
        <v>0</v>
      </c>
      <c r="J49" s="583"/>
      <c r="K49" s="583"/>
      <c r="L49" s="583"/>
      <c r="M49" s="583"/>
      <c r="N49" s="583">
        <f>M49</f>
        <v>0</v>
      </c>
      <c r="O49" s="583"/>
      <c r="P49" s="583"/>
      <c r="Q49" s="583"/>
      <c r="R49" s="583">
        <f aca="true" t="shared" si="17" ref="R49:T55">C49-H49-M49</f>
        <v>0</v>
      </c>
      <c r="S49" s="583">
        <f t="shared" si="17"/>
        <v>0</v>
      </c>
      <c r="T49" s="583">
        <f t="shared" si="17"/>
        <v>0</v>
      </c>
      <c r="U49" s="592" t="e">
        <f t="shared" si="5"/>
        <v>#DIV/0!</v>
      </c>
      <c r="V49" s="593" t="e">
        <f t="shared" si="6"/>
        <v>#DIV/0!</v>
      </c>
    </row>
    <row r="50" spans="1:22" s="584" customFormat="1" ht="12.75" customHeight="1" hidden="1">
      <c r="A50" s="581" t="s">
        <v>45</v>
      </c>
      <c r="B50" s="586"/>
      <c r="C50" s="583"/>
      <c r="D50" s="583">
        <f>C50</f>
        <v>0</v>
      </c>
      <c r="E50" s="583"/>
      <c r="F50" s="583" t="e">
        <f t="shared" si="16"/>
        <v>#DIV/0!</v>
      </c>
      <c r="G50" s="583" t="e">
        <f t="shared" si="3"/>
        <v>#DIV/0!</v>
      </c>
      <c r="H50" s="583"/>
      <c r="I50" s="583">
        <f>H50</f>
        <v>0</v>
      </c>
      <c r="J50" s="583"/>
      <c r="K50" s="583"/>
      <c r="L50" s="583"/>
      <c r="M50" s="583"/>
      <c r="N50" s="583">
        <f>M50</f>
        <v>0</v>
      </c>
      <c r="O50" s="583"/>
      <c r="P50" s="583"/>
      <c r="Q50" s="583"/>
      <c r="R50" s="583">
        <f t="shared" si="17"/>
        <v>0</v>
      </c>
      <c r="S50" s="583">
        <f t="shared" si="17"/>
        <v>0</v>
      </c>
      <c r="T50" s="583">
        <f t="shared" si="17"/>
        <v>0</v>
      </c>
      <c r="U50" s="592" t="e">
        <f t="shared" si="5"/>
        <v>#DIV/0!</v>
      </c>
      <c r="V50" s="593" t="e">
        <f t="shared" si="6"/>
        <v>#DIV/0!</v>
      </c>
    </row>
    <row r="51" spans="1:22" s="584" customFormat="1" ht="25.5" customHeight="1" hidden="1">
      <c r="A51" s="581" t="s">
        <v>115</v>
      </c>
      <c r="B51" s="586"/>
      <c r="C51" s="583"/>
      <c r="D51" s="583">
        <v>0</v>
      </c>
      <c r="E51" s="583">
        <v>0</v>
      </c>
      <c r="F51" s="583" t="e">
        <f t="shared" si="16"/>
        <v>#DIV/0!</v>
      </c>
      <c r="G51" s="583" t="e">
        <f t="shared" si="3"/>
        <v>#DIV/0!</v>
      </c>
      <c r="H51" s="583"/>
      <c r="I51" s="583">
        <v>0</v>
      </c>
      <c r="J51" s="583">
        <v>0</v>
      </c>
      <c r="K51" s="583" t="e">
        <f>I51/H51*100</f>
        <v>#DIV/0!</v>
      </c>
      <c r="L51" s="583" t="e">
        <f>J51/H51*100</f>
        <v>#DIV/0!</v>
      </c>
      <c r="M51" s="583"/>
      <c r="N51" s="583"/>
      <c r="O51" s="583"/>
      <c r="P51" s="583"/>
      <c r="Q51" s="583"/>
      <c r="R51" s="583">
        <f t="shared" si="17"/>
        <v>0</v>
      </c>
      <c r="S51" s="583">
        <f t="shared" si="17"/>
        <v>0</v>
      </c>
      <c r="T51" s="583">
        <f t="shared" si="17"/>
        <v>0</v>
      </c>
      <c r="U51" s="583" t="e">
        <f t="shared" si="5"/>
        <v>#DIV/0!</v>
      </c>
      <c r="V51" s="587" t="e">
        <f t="shared" si="6"/>
        <v>#DIV/0!</v>
      </c>
    </row>
    <row r="52" spans="1:22" s="584" customFormat="1" ht="38.25" customHeight="1" hidden="1">
      <c r="A52" s="581" t="s">
        <v>47</v>
      </c>
      <c r="B52" s="586" t="e">
        <f>#REF!+#REF!</f>
        <v>#REF!</v>
      </c>
      <c r="C52" s="583"/>
      <c r="D52" s="583">
        <f>C52</f>
        <v>0</v>
      </c>
      <c r="E52" s="583"/>
      <c r="F52" s="583" t="e">
        <f t="shared" si="16"/>
        <v>#DIV/0!</v>
      </c>
      <c r="G52" s="583" t="e">
        <f t="shared" si="3"/>
        <v>#DIV/0!</v>
      </c>
      <c r="H52" s="583"/>
      <c r="I52" s="583">
        <f>H52</f>
        <v>0</v>
      </c>
      <c r="J52" s="583"/>
      <c r="K52" s="583"/>
      <c r="L52" s="583"/>
      <c r="M52" s="583"/>
      <c r="N52" s="583">
        <f>M52</f>
        <v>0</v>
      </c>
      <c r="O52" s="583"/>
      <c r="P52" s="583"/>
      <c r="Q52" s="583"/>
      <c r="R52" s="583">
        <f t="shared" si="17"/>
        <v>0</v>
      </c>
      <c r="S52" s="583">
        <f t="shared" si="17"/>
        <v>0</v>
      </c>
      <c r="T52" s="583">
        <f t="shared" si="17"/>
        <v>0</v>
      </c>
      <c r="U52" s="592" t="e">
        <f t="shared" si="5"/>
        <v>#DIV/0!</v>
      </c>
      <c r="V52" s="593" t="e">
        <f t="shared" si="6"/>
        <v>#DIV/0!</v>
      </c>
    </row>
    <row r="53" spans="1:22" s="584" customFormat="1" ht="12.75" customHeight="1" hidden="1">
      <c r="A53" s="581" t="s">
        <v>48</v>
      </c>
      <c r="B53" s="586">
        <v>6938.2</v>
      </c>
      <c r="C53" s="583"/>
      <c r="D53" s="583">
        <f>C53</f>
        <v>0</v>
      </c>
      <c r="E53" s="583"/>
      <c r="F53" s="583" t="e">
        <f t="shared" si="16"/>
        <v>#DIV/0!</v>
      </c>
      <c r="G53" s="583" t="e">
        <f t="shared" si="3"/>
        <v>#DIV/0!</v>
      </c>
      <c r="H53" s="583"/>
      <c r="I53" s="583">
        <f>H53</f>
        <v>0</v>
      </c>
      <c r="J53" s="583"/>
      <c r="K53" s="583"/>
      <c r="L53" s="583"/>
      <c r="M53" s="583"/>
      <c r="N53" s="583">
        <f>M53</f>
        <v>0</v>
      </c>
      <c r="O53" s="583"/>
      <c r="P53" s="583"/>
      <c r="Q53" s="583"/>
      <c r="R53" s="583">
        <f t="shared" si="17"/>
        <v>0</v>
      </c>
      <c r="S53" s="583">
        <f t="shared" si="17"/>
        <v>0</v>
      </c>
      <c r="T53" s="583">
        <f t="shared" si="17"/>
        <v>0</v>
      </c>
      <c r="U53" s="592" t="e">
        <f t="shared" si="5"/>
        <v>#DIV/0!</v>
      </c>
      <c r="V53" s="593" t="e">
        <f t="shared" si="6"/>
        <v>#DIV/0!</v>
      </c>
    </row>
    <row r="54" spans="1:22" s="584" customFormat="1" ht="76.5" customHeight="1" hidden="1">
      <c r="A54" s="581" t="s">
        <v>91</v>
      </c>
      <c r="B54" s="586"/>
      <c r="C54" s="583"/>
      <c r="D54" s="583"/>
      <c r="E54" s="583"/>
      <c r="F54" s="583" t="e">
        <f t="shared" si="16"/>
        <v>#DIV/0!</v>
      </c>
      <c r="G54" s="583" t="e">
        <f t="shared" si="3"/>
        <v>#DIV/0!</v>
      </c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>
        <f t="shared" si="17"/>
        <v>0</v>
      </c>
      <c r="S54" s="583">
        <f t="shared" si="17"/>
        <v>0</v>
      </c>
      <c r="T54" s="583">
        <f t="shared" si="17"/>
        <v>0</v>
      </c>
      <c r="U54" s="583" t="e">
        <f t="shared" si="5"/>
        <v>#DIV/0!</v>
      </c>
      <c r="V54" s="587" t="e">
        <f t="shared" si="6"/>
        <v>#DIV/0!</v>
      </c>
    </row>
    <row r="55" spans="1:22" s="584" customFormat="1" ht="38.25" hidden="1">
      <c r="A55" s="581" t="s">
        <v>89</v>
      </c>
      <c r="B55" s="586"/>
      <c r="C55" s="583"/>
      <c r="D55" s="583"/>
      <c r="E55" s="583"/>
      <c r="F55" s="583" t="e">
        <f t="shared" si="16"/>
        <v>#DIV/0!</v>
      </c>
      <c r="G55" s="583" t="e">
        <f t="shared" si="3"/>
        <v>#DIV/0!</v>
      </c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>
        <f t="shared" si="17"/>
        <v>0</v>
      </c>
      <c r="S55" s="583">
        <f t="shared" si="17"/>
        <v>0</v>
      </c>
      <c r="T55" s="583">
        <f t="shared" si="17"/>
        <v>0</v>
      </c>
      <c r="U55" s="583" t="e">
        <f t="shared" si="5"/>
        <v>#DIV/0!</v>
      </c>
      <c r="V55" s="587" t="e">
        <f t="shared" si="6"/>
        <v>#DIV/0!</v>
      </c>
    </row>
    <row r="56" spans="1:22" s="584" customFormat="1" ht="12.75" customHeight="1" hidden="1">
      <c r="A56" s="594"/>
      <c r="B56" s="586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9"/>
    </row>
    <row r="57" spans="1:22" s="532" customFormat="1" ht="19.5" customHeight="1">
      <c r="A57" s="595" t="s">
        <v>102</v>
      </c>
      <c r="B57" s="591" t="e">
        <f>SUM(B9:B52)</f>
        <v>#REF!</v>
      </c>
      <c r="C57" s="376">
        <f>SUM(C9:C56)-C33-C34-C35-C36</f>
        <v>1071463.3064000004</v>
      </c>
      <c r="D57" s="376">
        <f>SUM(D9:D56)-D33-D34-D35-D36</f>
        <v>985851.32784</v>
      </c>
      <c r="E57" s="376">
        <f>SUM(E9:E56)-E33-E34-E35-E36</f>
        <v>969571.8189299998</v>
      </c>
      <c r="F57" s="376">
        <f aca="true" t="shared" si="18" ref="F57:F62">D57/C57*100</f>
        <v>92.00980770422767</v>
      </c>
      <c r="G57" s="376">
        <f aca="true" t="shared" si="19" ref="G57:G62">E57/C57*100</f>
        <v>90.49043612960067</v>
      </c>
      <c r="H57" s="376">
        <f>SUM(H9:H56)-H33-H34-H35-H36</f>
        <v>309247.514</v>
      </c>
      <c r="I57" s="376">
        <f>SUM(I9:I56)-I33-I34-I35-I36</f>
        <v>295918.65135999996</v>
      </c>
      <c r="J57" s="376">
        <f>SUM(J9:J56)-J33-J34-J35-J36</f>
        <v>295187.62467999995</v>
      </c>
      <c r="K57" s="376">
        <f>I57/H57*100</f>
        <v>95.68990467616175</v>
      </c>
      <c r="L57" s="376">
        <f>J57/H57*100</f>
        <v>95.45351581387325</v>
      </c>
      <c r="M57" s="376">
        <f>SUM(M9:M56)</f>
        <v>54828.66456</v>
      </c>
      <c r="N57" s="376">
        <f>SUM(N9:N56)</f>
        <v>39087.65896</v>
      </c>
      <c r="O57" s="376">
        <f>SUM(O9:O56)</f>
        <v>38327.1096</v>
      </c>
      <c r="P57" s="376">
        <f>N57/M57*100</f>
        <v>71.29055444570544</v>
      </c>
      <c r="Q57" s="376">
        <f>O57/M57*100</f>
        <v>69.90341622867352</v>
      </c>
      <c r="R57" s="376">
        <f>SUM(R9:R56)-R33-R34-R35-R36</f>
        <v>707387.1278399999</v>
      </c>
      <c r="S57" s="376">
        <f>SUM(S9:S56)-S33-S34-S35-S36</f>
        <v>650845.0175200001</v>
      </c>
      <c r="T57" s="376">
        <f>SUM(T9:T56)-T33-T34-T35-T36</f>
        <v>636057.0846499999</v>
      </c>
      <c r="U57" s="376">
        <f t="shared" si="5"/>
        <v>92.00690709588531</v>
      </c>
      <c r="V57" s="377">
        <f>T57/R57*100</f>
        <v>89.91640639435926</v>
      </c>
    </row>
    <row r="58" spans="1:22" s="584" customFormat="1" ht="17.25" customHeight="1">
      <c r="A58" s="594" t="s">
        <v>26</v>
      </c>
      <c r="B58" s="586"/>
      <c r="C58" s="608">
        <v>858.2808</v>
      </c>
      <c r="D58" s="608">
        <v>0</v>
      </c>
      <c r="E58" s="608">
        <v>0</v>
      </c>
      <c r="F58" s="608">
        <f t="shared" si="18"/>
        <v>0</v>
      </c>
      <c r="G58" s="608">
        <f t="shared" si="19"/>
        <v>0</v>
      </c>
      <c r="H58" s="608"/>
      <c r="I58" s="608"/>
      <c r="J58" s="608"/>
      <c r="K58" s="608"/>
      <c r="L58" s="608"/>
      <c r="M58" s="608"/>
      <c r="N58" s="608"/>
      <c r="O58" s="608"/>
      <c r="P58" s="608"/>
      <c r="Q58" s="608"/>
      <c r="R58" s="608">
        <f>C58-H58-M58</f>
        <v>858.2808</v>
      </c>
      <c r="S58" s="608">
        <f>D58-I58-N58</f>
        <v>0</v>
      </c>
      <c r="T58" s="608">
        <f>E58-J58-O58</f>
        <v>0</v>
      </c>
      <c r="U58" s="608">
        <f>S58/R58*100</f>
        <v>0</v>
      </c>
      <c r="V58" s="609">
        <f>T58/R58*100</f>
        <v>0</v>
      </c>
    </row>
    <row r="59" spans="1:22" s="584" customFormat="1" ht="12.75" customHeight="1" hidden="1">
      <c r="A59" s="581" t="s">
        <v>163</v>
      </c>
      <c r="B59" s="586"/>
      <c r="C59" s="608"/>
      <c r="D59" s="608"/>
      <c r="E59" s="608"/>
      <c r="F59" s="608" t="e">
        <f t="shared" si="18"/>
        <v>#DIV/0!</v>
      </c>
      <c r="G59" s="608" t="e">
        <f t="shared" si="19"/>
        <v>#DIV/0!</v>
      </c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>
        <f aca="true" t="shared" si="20" ref="R59:R68">C59-H59-M59</f>
        <v>0</v>
      </c>
      <c r="S59" s="608">
        <f aca="true" t="shared" si="21" ref="S59:S68">D59-I59-N59</f>
        <v>0</v>
      </c>
      <c r="T59" s="608">
        <f aca="true" t="shared" si="22" ref="T59:T68">E59-J59-O59</f>
        <v>0</v>
      </c>
      <c r="U59" s="608" t="e">
        <f aca="true" t="shared" si="23" ref="U59:U68">S59/R59*100</f>
        <v>#DIV/0!</v>
      </c>
      <c r="V59" s="609" t="e">
        <f aca="true" t="shared" si="24" ref="V59:V68">T59/R59*100</f>
        <v>#DIV/0!</v>
      </c>
    </row>
    <row r="60" spans="1:22" s="584" customFormat="1" ht="38.25" hidden="1">
      <c r="A60" s="581" t="s">
        <v>149</v>
      </c>
      <c r="B60" s="586"/>
      <c r="C60" s="608"/>
      <c r="D60" s="608"/>
      <c r="E60" s="608"/>
      <c r="F60" s="608" t="e">
        <f t="shared" si="18"/>
        <v>#DIV/0!</v>
      </c>
      <c r="G60" s="608" t="e">
        <f t="shared" si="19"/>
        <v>#DIV/0!</v>
      </c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>
        <f t="shared" si="20"/>
        <v>0</v>
      </c>
      <c r="S60" s="608">
        <f t="shared" si="21"/>
        <v>0</v>
      </c>
      <c r="T60" s="608">
        <f t="shared" si="22"/>
        <v>0</v>
      </c>
      <c r="U60" s="608" t="e">
        <f t="shared" si="23"/>
        <v>#DIV/0!</v>
      </c>
      <c r="V60" s="609" t="e">
        <f t="shared" si="24"/>
        <v>#DIV/0!</v>
      </c>
    </row>
    <row r="61" spans="1:22" s="584" customFormat="1" ht="63.75" customHeight="1" hidden="1">
      <c r="A61" s="581" t="s">
        <v>154</v>
      </c>
      <c r="B61" s="586"/>
      <c r="C61" s="608"/>
      <c r="D61" s="608"/>
      <c r="E61" s="608"/>
      <c r="F61" s="608" t="e">
        <f t="shared" si="18"/>
        <v>#DIV/0!</v>
      </c>
      <c r="G61" s="608" t="e">
        <f t="shared" si="19"/>
        <v>#DIV/0!</v>
      </c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>
        <f t="shared" si="20"/>
        <v>0</v>
      </c>
      <c r="S61" s="608">
        <f t="shared" si="21"/>
        <v>0</v>
      </c>
      <c r="T61" s="608">
        <f t="shared" si="22"/>
        <v>0</v>
      </c>
      <c r="U61" s="608" t="e">
        <f t="shared" si="23"/>
        <v>#DIV/0!</v>
      </c>
      <c r="V61" s="609" t="e">
        <f t="shared" si="24"/>
        <v>#DIV/0!</v>
      </c>
    </row>
    <row r="62" spans="1:22" s="584" customFormat="1" ht="51" hidden="1">
      <c r="A62" s="581" t="s">
        <v>155</v>
      </c>
      <c r="B62" s="586"/>
      <c r="C62" s="608"/>
      <c r="D62" s="608"/>
      <c r="E62" s="608"/>
      <c r="F62" s="608" t="e">
        <f t="shared" si="18"/>
        <v>#DIV/0!</v>
      </c>
      <c r="G62" s="608" t="e">
        <f t="shared" si="19"/>
        <v>#DIV/0!</v>
      </c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>
        <f t="shared" si="20"/>
        <v>0</v>
      </c>
      <c r="S62" s="608">
        <f t="shared" si="21"/>
        <v>0</v>
      </c>
      <c r="T62" s="608">
        <f t="shared" si="22"/>
        <v>0</v>
      </c>
      <c r="U62" s="608" t="e">
        <f t="shared" si="23"/>
        <v>#DIV/0!</v>
      </c>
      <c r="V62" s="609" t="e">
        <f t="shared" si="24"/>
        <v>#DIV/0!</v>
      </c>
    </row>
    <row r="63" spans="1:22" s="584" customFormat="1" ht="55.5" customHeight="1">
      <c r="A63" s="581" t="s">
        <v>247</v>
      </c>
      <c r="B63" s="586"/>
      <c r="C63" s="608">
        <v>257.3</v>
      </c>
      <c r="D63" s="608">
        <v>109</v>
      </c>
      <c r="E63" s="608">
        <v>108.97308</v>
      </c>
      <c r="F63" s="608">
        <f aca="true" t="shared" si="25" ref="F63:F71">D63/C63*100</f>
        <v>42.36300038865138</v>
      </c>
      <c r="G63" s="608">
        <f aca="true" t="shared" si="26" ref="G63:G71">E63/C63*100</f>
        <v>42.35253789350952</v>
      </c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>
        <f t="shared" si="20"/>
        <v>257.3</v>
      </c>
      <c r="S63" s="608">
        <f t="shared" si="21"/>
        <v>109</v>
      </c>
      <c r="T63" s="608">
        <f t="shared" si="22"/>
        <v>108.97308</v>
      </c>
      <c r="U63" s="608">
        <f t="shared" si="23"/>
        <v>42.36300038865138</v>
      </c>
      <c r="V63" s="609">
        <f t="shared" si="24"/>
        <v>42.35253789350952</v>
      </c>
    </row>
    <row r="64" spans="1:22" s="584" customFormat="1" ht="57" customHeight="1">
      <c r="A64" s="581" t="s">
        <v>248</v>
      </c>
      <c r="B64" s="586"/>
      <c r="C64" s="608">
        <v>1869.3</v>
      </c>
      <c r="D64" s="608">
        <f>C64</f>
        <v>1869.3</v>
      </c>
      <c r="E64" s="608">
        <v>1865.64693</v>
      </c>
      <c r="F64" s="608">
        <f>D64/C64*100</f>
        <v>100</v>
      </c>
      <c r="G64" s="608">
        <f t="shared" si="26"/>
        <v>99.80457550954904</v>
      </c>
      <c r="H64" s="608"/>
      <c r="I64" s="608"/>
      <c r="J64" s="608"/>
      <c r="K64" s="608"/>
      <c r="L64" s="608"/>
      <c r="M64" s="608"/>
      <c r="N64" s="608"/>
      <c r="O64" s="608"/>
      <c r="P64" s="608"/>
      <c r="Q64" s="608"/>
      <c r="R64" s="608">
        <f t="shared" si="20"/>
        <v>1869.3</v>
      </c>
      <c r="S64" s="608">
        <f t="shared" si="21"/>
        <v>1869.3</v>
      </c>
      <c r="T64" s="608">
        <f t="shared" si="22"/>
        <v>1865.64693</v>
      </c>
      <c r="U64" s="608">
        <f t="shared" si="23"/>
        <v>100</v>
      </c>
      <c r="V64" s="609">
        <f t="shared" si="24"/>
        <v>99.80457550954904</v>
      </c>
    </row>
    <row r="65" spans="1:22" s="507" customFormat="1" ht="38.25">
      <c r="A65" s="596" t="s">
        <v>244</v>
      </c>
      <c r="B65" s="597"/>
      <c r="C65" s="608">
        <v>38.2</v>
      </c>
      <c r="D65" s="608">
        <v>38.2</v>
      </c>
      <c r="E65" s="608">
        <v>38.19387</v>
      </c>
      <c r="F65" s="373">
        <f t="shared" si="25"/>
        <v>100</v>
      </c>
      <c r="G65" s="608">
        <f t="shared" si="26"/>
        <v>99.98395287958114</v>
      </c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>
        <f t="shared" si="20"/>
        <v>38.2</v>
      </c>
      <c r="S65" s="373">
        <f t="shared" si="21"/>
        <v>38.2</v>
      </c>
      <c r="T65" s="373">
        <f t="shared" si="22"/>
        <v>38.19387</v>
      </c>
      <c r="U65" s="373">
        <f t="shared" si="23"/>
        <v>100</v>
      </c>
      <c r="V65" s="609">
        <f t="shared" si="24"/>
        <v>99.98395287958114</v>
      </c>
    </row>
    <row r="66" spans="1:22" s="507" customFormat="1" ht="67.5" customHeight="1" hidden="1">
      <c r="A66" s="596" t="s">
        <v>273</v>
      </c>
      <c r="B66" s="597"/>
      <c r="C66" s="608"/>
      <c r="D66" s="608"/>
      <c r="E66" s="608"/>
      <c r="F66" s="608" t="e">
        <f t="shared" si="25"/>
        <v>#DIV/0!</v>
      </c>
      <c r="G66" s="608" t="e">
        <f t="shared" si="26"/>
        <v>#DIV/0!</v>
      </c>
      <c r="H66" s="608"/>
      <c r="I66" s="608"/>
      <c r="J66" s="608"/>
      <c r="K66" s="608"/>
      <c r="L66" s="608"/>
      <c r="M66" s="608"/>
      <c r="N66" s="608"/>
      <c r="O66" s="608"/>
      <c r="P66" s="608"/>
      <c r="Q66" s="608"/>
      <c r="R66" s="608">
        <f aca="true" t="shared" si="27" ref="R66:T67">C66-H66-M66</f>
        <v>0</v>
      </c>
      <c r="S66" s="608">
        <f t="shared" si="27"/>
        <v>0</v>
      </c>
      <c r="T66" s="608">
        <f t="shared" si="27"/>
        <v>0</v>
      </c>
      <c r="U66" s="608" t="e">
        <f>S66/R66*100</f>
        <v>#DIV/0!</v>
      </c>
      <c r="V66" s="609" t="e">
        <f>T66/R66*100</f>
        <v>#DIV/0!</v>
      </c>
    </row>
    <row r="67" spans="1:22" s="507" customFormat="1" ht="153">
      <c r="A67" s="596" t="s">
        <v>274</v>
      </c>
      <c r="B67" s="597"/>
      <c r="C67" s="608">
        <v>19660</v>
      </c>
      <c r="D67" s="608">
        <f>C67</f>
        <v>19660</v>
      </c>
      <c r="E67" s="608">
        <f>D67</f>
        <v>19660</v>
      </c>
      <c r="F67" s="608">
        <f t="shared" si="25"/>
        <v>100</v>
      </c>
      <c r="G67" s="608">
        <f t="shared" si="26"/>
        <v>100</v>
      </c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>
        <f t="shared" si="27"/>
        <v>19660</v>
      </c>
      <c r="S67" s="608">
        <f t="shared" si="27"/>
        <v>19660</v>
      </c>
      <c r="T67" s="608">
        <f t="shared" si="27"/>
        <v>19660</v>
      </c>
      <c r="U67" s="608">
        <f>S67/R67*100</f>
        <v>100</v>
      </c>
      <c r="V67" s="609">
        <f>T67/R67*100</f>
        <v>100</v>
      </c>
    </row>
    <row r="68" spans="1:22" s="584" customFormat="1" ht="47.25" customHeight="1" thickBot="1">
      <c r="A68" s="581" t="s">
        <v>138</v>
      </c>
      <c r="B68" s="586"/>
      <c r="C68" s="608">
        <f>'Дох спец'!C28</f>
        <v>153088.93069</v>
      </c>
      <c r="D68" s="608">
        <f>'Дох спец'!D28</f>
        <v>84602.18246</v>
      </c>
      <c r="E68" s="608">
        <f>D68</f>
        <v>84602.18246</v>
      </c>
      <c r="F68" s="608">
        <f t="shared" si="25"/>
        <v>55.26342242948748</v>
      </c>
      <c r="G68" s="608">
        <f t="shared" si="26"/>
        <v>55.26342242948748</v>
      </c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>
        <f t="shared" si="20"/>
        <v>153088.93069</v>
      </c>
      <c r="S68" s="608">
        <f t="shared" si="21"/>
        <v>84602.18246</v>
      </c>
      <c r="T68" s="608">
        <f t="shared" si="22"/>
        <v>84602.18246</v>
      </c>
      <c r="U68" s="608">
        <f t="shared" si="23"/>
        <v>55.26342242948748</v>
      </c>
      <c r="V68" s="609">
        <f t="shared" si="24"/>
        <v>55.26342242948748</v>
      </c>
    </row>
    <row r="69" spans="1:22" s="584" customFormat="1" ht="14.25" customHeight="1" hidden="1">
      <c r="A69" s="581" t="s">
        <v>118</v>
      </c>
      <c r="B69" s="586"/>
      <c r="C69" s="608">
        <f>'Дох спец'!C33</f>
        <v>0</v>
      </c>
      <c r="D69" s="608">
        <f>'Дох спец'!D33</f>
        <v>0</v>
      </c>
      <c r="E69" s="608"/>
      <c r="F69" s="608" t="e">
        <f t="shared" si="25"/>
        <v>#DIV/0!</v>
      </c>
      <c r="G69" s="608" t="e">
        <f t="shared" si="26"/>
        <v>#DIV/0!</v>
      </c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>
        <f aca="true" t="shared" si="28" ref="R69:T70">C69-H69-M69</f>
        <v>0</v>
      </c>
      <c r="S69" s="608">
        <f t="shared" si="28"/>
        <v>0</v>
      </c>
      <c r="T69" s="608">
        <f t="shared" si="28"/>
        <v>0</v>
      </c>
      <c r="U69" s="608" t="e">
        <f>S69/R69*100</f>
        <v>#DIV/0!</v>
      </c>
      <c r="V69" s="609" t="e">
        <f>T69/R69*100</f>
        <v>#DIV/0!</v>
      </c>
    </row>
    <row r="70" spans="1:22" s="584" customFormat="1" ht="39" hidden="1" thickBot="1">
      <c r="A70" s="598" t="s">
        <v>211</v>
      </c>
      <c r="B70" s="599"/>
      <c r="C70" s="608">
        <f>'Дох спец'!C34</f>
        <v>0</v>
      </c>
      <c r="D70" s="608">
        <f>'Дох спец'!D34</f>
        <v>0</v>
      </c>
      <c r="E70" s="610"/>
      <c r="F70" s="610" t="e">
        <f t="shared" si="25"/>
        <v>#DIV/0!</v>
      </c>
      <c r="G70" s="610" t="e">
        <f t="shared" si="26"/>
        <v>#DIV/0!</v>
      </c>
      <c r="H70" s="610"/>
      <c r="I70" s="610"/>
      <c r="J70" s="610"/>
      <c r="K70" s="608" t="e">
        <f>I70/H70*100</f>
        <v>#DIV/0!</v>
      </c>
      <c r="L70" s="608" t="e">
        <f>J70/H70*100</f>
        <v>#DIV/0!</v>
      </c>
      <c r="M70" s="610"/>
      <c r="N70" s="610"/>
      <c r="O70" s="610"/>
      <c r="P70" s="610"/>
      <c r="Q70" s="610"/>
      <c r="R70" s="608">
        <f t="shared" si="28"/>
        <v>0</v>
      </c>
      <c r="S70" s="608">
        <f t="shared" si="28"/>
        <v>0</v>
      </c>
      <c r="T70" s="608">
        <f t="shared" si="28"/>
        <v>0</v>
      </c>
      <c r="U70" s="611">
        <v>0</v>
      </c>
      <c r="V70" s="612">
        <v>0</v>
      </c>
    </row>
    <row r="71" spans="1:22" s="532" customFormat="1" ht="26.25" thickBot="1">
      <c r="A71" s="600" t="s">
        <v>126</v>
      </c>
      <c r="B71" s="601"/>
      <c r="C71" s="382">
        <f>C57+C58+C59+C60+C61+C62+C63+C64+C65+C68+C66+C67</f>
        <v>1247235.3178900005</v>
      </c>
      <c r="D71" s="382">
        <f>D57+D58+D59+D60+D61+D62+D63+D64+D65+D68+D66+D67</f>
        <v>1092130.0103</v>
      </c>
      <c r="E71" s="382">
        <f>E57+E58+E59+E60+E61+E62+E63+E64+E65+E68+E66+E67</f>
        <v>1075846.81527</v>
      </c>
      <c r="F71" s="382">
        <f t="shared" si="25"/>
        <v>87.56407027886296</v>
      </c>
      <c r="G71" s="382">
        <f t="shared" si="26"/>
        <v>86.25852714707072</v>
      </c>
      <c r="H71" s="382">
        <f>H57+H58+H59+H60+H61+H62+H63+H64+H65+H68</f>
        <v>309247.514</v>
      </c>
      <c r="I71" s="382">
        <f>I57+I58+I59+I60+I61+I62+I63+I64+I65+I68</f>
        <v>295918.65135999996</v>
      </c>
      <c r="J71" s="382">
        <f>J57+J58+J59+J60+J61+J62+J63+J64+J65+J68</f>
        <v>295187.62467999995</v>
      </c>
      <c r="K71" s="382">
        <f>I71/H71*100</f>
        <v>95.68990467616175</v>
      </c>
      <c r="L71" s="382">
        <f>J71/H71*100</f>
        <v>95.45351581387325</v>
      </c>
      <c r="M71" s="382">
        <f>M57+M58+M59+M60+M61+M62+M63+M64+M65+M68</f>
        <v>54828.66456</v>
      </c>
      <c r="N71" s="382">
        <f>N57+N58+N59+N60+N61+N62+N63+N64+N65+N68</f>
        <v>39087.65896</v>
      </c>
      <c r="O71" s="382">
        <f>O57+O58+O59+O60+O61+O62+O63+O64+O65+O68</f>
        <v>38327.1096</v>
      </c>
      <c r="P71" s="382">
        <f>N71/M71*100</f>
        <v>71.29055444570544</v>
      </c>
      <c r="Q71" s="382">
        <f>O71/M71*100</f>
        <v>69.90341622867352</v>
      </c>
      <c r="R71" s="382">
        <f>R57+R58+R59+R60+R61+R62+R63+R64+R65+R68+R66+R67</f>
        <v>883159.1393299999</v>
      </c>
      <c r="S71" s="382">
        <f>S57+S58+S59+S60+S61+S62+S63+S64+S65+S68+S66+S67</f>
        <v>757123.6999800002</v>
      </c>
      <c r="T71" s="382">
        <f>T57+T58+T59+T60+T61+T62+T63+T64+T65+T68+T66+T67</f>
        <v>742332.0809899999</v>
      </c>
      <c r="U71" s="382">
        <f>S71/R71*100</f>
        <v>85.72902280719018</v>
      </c>
      <c r="V71" s="383">
        <f>T71/R71*100</f>
        <v>84.05416962034305</v>
      </c>
    </row>
    <row r="72" spans="1:22" s="584" customFormat="1" ht="12.75" hidden="1">
      <c r="A72" s="602" t="s">
        <v>205</v>
      </c>
      <c r="B72" s="585"/>
      <c r="C72" s="613"/>
      <c r="D72" s="613"/>
      <c r="E72" s="613"/>
      <c r="F72" s="613" t="e">
        <f aca="true" t="shared" si="29" ref="F72:F90">D72/C72*100</f>
        <v>#DIV/0!</v>
      </c>
      <c r="G72" s="613" t="e">
        <f aca="true" t="shared" si="30" ref="G72:G90">E72/C72*100</f>
        <v>#DIV/0!</v>
      </c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3">
        <f aca="true" t="shared" si="31" ref="R72:S77">C72-H72</f>
        <v>0</v>
      </c>
      <c r="S72" s="613">
        <f t="shared" si="31"/>
        <v>0</v>
      </c>
      <c r="T72" s="613">
        <f>E72-J72-O72</f>
        <v>0</v>
      </c>
      <c r="U72" s="613" t="e">
        <f>S72/R72*100</f>
        <v>#DIV/0!</v>
      </c>
      <c r="V72" s="615" t="e">
        <f>T72/R72*100</f>
        <v>#DIV/0!</v>
      </c>
    </row>
    <row r="73" spans="1:22" s="584" customFormat="1" ht="51">
      <c r="A73" s="594" t="s">
        <v>307</v>
      </c>
      <c r="B73" s="586"/>
      <c r="C73" s="608">
        <v>144282.049</v>
      </c>
      <c r="D73" s="608">
        <f>C73</f>
        <v>144282.049</v>
      </c>
      <c r="E73" s="608">
        <f>D73</f>
        <v>144282.049</v>
      </c>
      <c r="F73" s="608">
        <f t="shared" si="29"/>
        <v>100</v>
      </c>
      <c r="G73" s="608">
        <f t="shared" si="30"/>
        <v>100</v>
      </c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08">
        <f t="shared" si="31"/>
        <v>144282.049</v>
      </c>
      <c r="S73" s="608">
        <f t="shared" si="31"/>
        <v>144282.049</v>
      </c>
      <c r="T73" s="608">
        <f aca="true" t="shared" si="32" ref="T73:T79">E73-J73-O73</f>
        <v>144282.049</v>
      </c>
      <c r="U73" s="608">
        <f aca="true" t="shared" si="33" ref="U73:U79">S73/R73*100</f>
        <v>100</v>
      </c>
      <c r="V73" s="617">
        <f aca="true" t="shared" si="34" ref="V73:V79">T73/R73*100</f>
        <v>100</v>
      </c>
    </row>
    <row r="74" spans="1:22" s="584" customFormat="1" ht="38.25">
      <c r="A74" s="594" t="s">
        <v>234</v>
      </c>
      <c r="B74" s="586"/>
      <c r="C74" s="608">
        <v>6735.5</v>
      </c>
      <c r="D74" s="608">
        <f>C74</f>
        <v>6735.5</v>
      </c>
      <c r="E74" s="608">
        <v>6689.6378</v>
      </c>
      <c r="F74" s="608">
        <f t="shared" si="29"/>
        <v>100</v>
      </c>
      <c r="G74" s="608">
        <f t="shared" si="30"/>
        <v>99.31909732016926</v>
      </c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08">
        <f>C74-H74</f>
        <v>6735.5</v>
      </c>
      <c r="S74" s="608">
        <f>D74-I74</f>
        <v>6735.5</v>
      </c>
      <c r="T74" s="608">
        <f>E74-J74-O74</f>
        <v>6689.6378</v>
      </c>
      <c r="U74" s="608">
        <f t="shared" si="33"/>
        <v>100</v>
      </c>
      <c r="V74" s="617">
        <f t="shared" si="34"/>
        <v>99.31909732016926</v>
      </c>
    </row>
    <row r="75" spans="1:22" s="584" customFormat="1" ht="38.25">
      <c r="A75" s="603" t="s">
        <v>202</v>
      </c>
      <c r="B75" s="604"/>
      <c r="C75" s="608">
        <v>14.7</v>
      </c>
      <c r="D75" s="608">
        <f>C75</f>
        <v>14.7</v>
      </c>
      <c r="E75" s="608">
        <f>D75</f>
        <v>14.7</v>
      </c>
      <c r="F75" s="608">
        <f t="shared" si="29"/>
        <v>100</v>
      </c>
      <c r="G75" s="608">
        <f t="shared" si="30"/>
        <v>100</v>
      </c>
      <c r="H75" s="616"/>
      <c r="I75" s="608"/>
      <c r="J75" s="616"/>
      <c r="K75" s="608"/>
      <c r="L75" s="616"/>
      <c r="M75" s="616"/>
      <c r="N75" s="616"/>
      <c r="O75" s="616"/>
      <c r="P75" s="616"/>
      <c r="Q75" s="616"/>
      <c r="R75" s="608">
        <f t="shared" si="31"/>
        <v>14.7</v>
      </c>
      <c r="S75" s="608">
        <f t="shared" si="31"/>
        <v>14.7</v>
      </c>
      <c r="T75" s="608">
        <f t="shared" si="32"/>
        <v>14.7</v>
      </c>
      <c r="U75" s="608">
        <f t="shared" si="33"/>
        <v>100</v>
      </c>
      <c r="V75" s="617">
        <f t="shared" si="34"/>
        <v>100</v>
      </c>
    </row>
    <row r="76" spans="1:22" s="584" customFormat="1" ht="38.25">
      <c r="A76" s="605" t="s">
        <v>235</v>
      </c>
      <c r="B76" s="604"/>
      <c r="C76" s="558">
        <v>10128.867</v>
      </c>
      <c r="D76" s="558">
        <v>10116.292</v>
      </c>
      <c r="E76" s="608">
        <f>D76</f>
        <v>10116.292</v>
      </c>
      <c r="F76" s="608">
        <f t="shared" si="29"/>
        <v>99.8758498852833</v>
      </c>
      <c r="G76" s="608">
        <f t="shared" si="30"/>
        <v>99.8758498852833</v>
      </c>
      <c r="H76" s="616"/>
      <c r="I76" s="616"/>
      <c r="J76" s="616"/>
      <c r="K76" s="608"/>
      <c r="L76" s="616"/>
      <c r="M76" s="616"/>
      <c r="N76" s="616"/>
      <c r="O76" s="616"/>
      <c r="P76" s="616"/>
      <c r="Q76" s="616"/>
      <c r="R76" s="608">
        <f t="shared" si="31"/>
        <v>10128.867</v>
      </c>
      <c r="S76" s="608">
        <f t="shared" si="31"/>
        <v>10116.292</v>
      </c>
      <c r="T76" s="608">
        <f t="shared" si="32"/>
        <v>10116.292</v>
      </c>
      <c r="U76" s="608">
        <f t="shared" si="33"/>
        <v>99.8758498852833</v>
      </c>
      <c r="V76" s="617">
        <f t="shared" si="34"/>
        <v>99.8758498852833</v>
      </c>
    </row>
    <row r="77" spans="1:22" s="584" customFormat="1" ht="125.25" customHeight="1">
      <c r="A77" s="606" t="s">
        <v>308</v>
      </c>
      <c r="B77" s="604"/>
      <c r="C77" s="558">
        <v>23575.6</v>
      </c>
      <c r="D77" s="558">
        <v>22337.7</v>
      </c>
      <c r="E77" s="558">
        <f>D77</f>
        <v>22337.7</v>
      </c>
      <c r="F77" s="608">
        <f t="shared" si="29"/>
        <v>94.74923225707937</v>
      </c>
      <c r="G77" s="608">
        <f t="shared" si="30"/>
        <v>94.74923225707937</v>
      </c>
      <c r="H77" s="616"/>
      <c r="I77" s="616"/>
      <c r="J77" s="616"/>
      <c r="K77" s="616"/>
      <c r="L77" s="616"/>
      <c r="M77" s="616"/>
      <c r="N77" s="616"/>
      <c r="O77" s="616"/>
      <c r="P77" s="616"/>
      <c r="Q77" s="616"/>
      <c r="R77" s="608">
        <f t="shared" si="31"/>
        <v>23575.6</v>
      </c>
      <c r="S77" s="608">
        <f t="shared" si="31"/>
        <v>22337.7</v>
      </c>
      <c r="T77" s="608">
        <f t="shared" si="32"/>
        <v>22337.7</v>
      </c>
      <c r="U77" s="608">
        <f t="shared" si="33"/>
        <v>94.74923225707937</v>
      </c>
      <c r="V77" s="617">
        <f t="shared" si="34"/>
        <v>94.74923225707937</v>
      </c>
    </row>
    <row r="78" spans="1:22" s="584" customFormat="1" ht="38.25">
      <c r="A78" s="605" t="s">
        <v>50</v>
      </c>
      <c r="B78" s="604"/>
      <c r="C78" s="558">
        <f>341156.6+78968.7+800454</f>
        <v>1220579.3</v>
      </c>
      <c r="D78" s="558">
        <f>313853.2896+78968.7+743226.26</f>
        <v>1136048.2496</v>
      </c>
      <c r="E78" s="558">
        <f>D78</f>
        <v>1136048.2496</v>
      </c>
      <c r="F78" s="608">
        <f t="shared" si="29"/>
        <v>93.07451384764595</v>
      </c>
      <c r="G78" s="608">
        <f t="shared" si="30"/>
        <v>93.07451384764595</v>
      </c>
      <c r="H78" s="616"/>
      <c r="I78" s="558"/>
      <c r="J78" s="616"/>
      <c r="K78" s="616"/>
      <c r="L78" s="616"/>
      <c r="M78" s="616"/>
      <c r="N78" s="616"/>
      <c r="O78" s="616"/>
      <c r="P78" s="616"/>
      <c r="Q78" s="616"/>
      <c r="R78" s="608">
        <f aca="true" t="shared" si="35" ref="R78:S85">C78-H78</f>
        <v>1220579.3</v>
      </c>
      <c r="S78" s="608">
        <f t="shared" si="35"/>
        <v>1136048.2496</v>
      </c>
      <c r="T78" s="608">
        <f t="shared" si="32"/>
        <v>1136048.2496</v>
      </c>
      <c r="U78" s="608">
        <f t="shared" si="33"/>
        <v>93.07451384764595</v>
      </c>
      <c r="V78" s="617">
        <f t="shared" si="34"/>
        <v>93.07451384764595</v>
      </c>
    </row>
    <row r="79" spans="1:22" s="584" customFormat="1" ht="12.75">
      <c r="A79" s="605" t="s">
        <v>309</v>
      </c>
      <c r="B79" s="604"/>
      <c r="C79" s="558">
        <v>7438.961</v>
      </c>
      <c r="D79" s="558">
        <v>0</v>
      </c>
      <c r="E79" s="558">
        <f>D79</f>
        <v>0</v>
      </c>
      <c r="F79" s="608">
        <f t="shared" si="29"/>
        <v>0</v>
      </c>
      <c r="G79" s="608">
        <f t="shared" si="30"/>
        <v>0</v>
      </c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08">
        <f t="shared" si="35"/>
        <v>7438.961</v>
      </c>
      <c r="S79" s="608">
        <f t="shared" si="35"/>
        <v>0</v>
      </c>
      <c r="T79" s="608">
        <f t="shared" si="32"/>
        <v>0</v>
      </c>
      <c r="U79" s="608">
        <f t="shared" si="33"/>
        <v>0</v>
      </c>
      <c r="V79" s="617">
        <f t="shared" si="34"/>
        <v>0</v>
      </c>
    </row>
    <row r="80" spans="1:22" s="584" customFormat="1" ht="12.75" hidden="1">
      <c r="A80" s="605" t="s">
        <v>256</v>
      </c>
      <c r="B80" s="604"/>
      <c r="C80" s="618"/>
      <c r="D80" s="558"/>
      <c r="E80" s="618"/>
      <c r="F80" s="608" t="e">
        <f aca="true" t="shared" si="36" ref="F80:F87">D80/C80*100</f>
        <v>#DIV/0!</v>
      </c>
      <c r="G80" s="608" t="e">
        <f aca="true" t="shared" si="37" ref="G80:G87">E80/C80*100</f>
        <v>#DIV/0!</v>
      </c>
      <c r="H80" s="616"/>
      <c r="I80" s="616"/>
      <c r="J80" s="616"/>
      <c r="K80" s="616"/>
      <c r="L80" s="616"/>
      <c r="M80" s="616"/>
      <c r="N80" s="616"/>
      <c r="O80" s="616"/>
      <c r="P80" s="616"/>
      <c r="Q80" s="616"/>
      <c r="R80" s="608">
        <f t="shared" si="35"/>
        <v>0</v>
      </c>
      <c r="S80" s="608">
        <f t="shared" si="35"/>
        <v>0</v>
      </c>
      <c r="T80" s="608">
        <f aca="true" t="shared" si="38" ref="T80:T86">E80-J80-O80</f>
        <v>0</v>
      </c>
      <c r="U80" s="608" t="e">
        <f aca="true" t="shared" si="39" ref="U80:U86">S80/R80*100</f>
        <v>#DIV/0!</v>
      </c>
      <c r="V80" s="617" t="e">
        <f aca="true" t="shared" si="40" ref="V80:V86">T80/R80*100</f>
        <v>#DIV/0!</v>
      </c>
    </row>
    <row r="81" spans="1:22" s="584" customFormat="1" ht="12.75" hidden="1">
      <c r="A81" s="138" t="s">
        <v>275</v>
      </c>
      <c r="B81" s="604"/>
      <c r="C81" s="619"/>
      <c r="D81" s="558"/>
      <c r="E81" s="618"/>
      <c r="F81" s="608" t="e">
        <f t="shared" si="36"/>
        <v>#DIV/0!</v>
      </c>
      <c r="G81" s="608" t="e">
        <f t="shared" si="37"/>
        <v>#DIV/0!</v>
      </c>
      <c r="H81" s="616"/>
      <c r="I81" s="616"/>
      <c r="J81" s="616"/>
      <c r="K81" s="616"/>
      <c r="L81" s="616"/>
      <c r="M81" s="616"/>
      <c r="N81" s="616"/>
      <c r="O81" s="616"/>
      <c r="P81" s="616"/>
      <c r="Q81" s="616"/>
      <c r="R81" s="608">
        <f>C81-H81</f>
        <v>0</v>
      </c>
      <c r="S81" s="608">
        <f>D81-I81</f>
        <v>0</v>
      </c>
      <c r="T81" s="608">
        <f t="shared" si="38"/>
        <v>0</v>
      </c>
      <c r="U81" s="608" t="e">
        <f t="shared" si="39"/>
        <v>#DIV/0!</v>
      </c>
      <c r="V81" s="617" t="e">
        <f t="shared" si="40"/>
        <v>#DIV/0!</v>
      </c>
    </row>
    <row r="82" spans="1:22" s="584" customFormat="1" ht="38.25">
      <c r="A82" s="138" t="s">
        <v>253</v>
      </c>
      <c r="B82" s="604"/>
      <c r="C82" s="620">
        <v>13515.681</v>
      </c>
      <c r="D82" s="620">
        <f aca="true" t="shared" si="41" ref="D82:E85">C82</f>
        <v>13515.681</v>
      </c>
      <c r="E82" s="620">
        <f t="shared" si="41"/>
        <v>13515.681</v>
      </c>
      <c r="F82" s="608">
        <f t="shared" si="36"/>
        <v>100</v>
      </c>
      <c r="G82" s="608">
        <f t="shared" si="37"/>
        <v>100</v>
      </c>
      <c r="H82" s="621"/>
      <c r="I82" s="621"/>
      <c r="J82" s="621"/>
      <c r="K82" s="621"/>
      <c r="L82" s="621"/>
      <c r="M82" s="621"/>
      <c r="N82" s="621"/>
      <c r="O82" s="621"/>
      <c r="P82" s="621"/>
      <c r="Q82" s="621"/>
      <c r="R82" s="608">
        <f t="shared" si="35"/>
        <v>13515.681</v>
      </c>
      <c r="S82" s="608">
        <f t="shared" si="35"/>
        <v>13515.681</v>
      </c>
      <c r="T82" s="608">
        <f t="shared" si="38"/>
        <v>13515.681</v>
      </c>
      <c r="U82" s="608">
        <f t="shared" si="39"/>
        <v>100</v>
      </c>
      <c r="V82" s="617">
        <f t="shared" si="40"/>
        <v>100</v>
      </c>
    </row>
    <row r="83" spans="1:22" s="584" customFormat="1" ht="25.5">
      <c r="A83" s="138" t="s">
        <v>286</v>
      </c>
      <c r="B83" s="604"/>
      <c r="C83" s="620">
        <v>6567.281</v>
      </c>
      <c r="D83" s="620">
        <f t="shared" si="41"/>
        <v>6567.281</v>
      </c>
      <c r="E83" s="620">
        <f t="shared" si="41"/>
        <v>6567.281</v>
      </c>
      <c r="F83" s="608">
        <f t="shared" si="36"/>
        <v>100</v>
      </c>
      <c r="G83" s="608">
        <f t="shared" si="37"/>
        <v>100</v>
      </c>
      <c r="H83" s="621"/>
      <c r="I83" s="621"/>
      <c r="J83" s="621"/>
      <c r="K83" s="621"/>
      <c r="L83" s="621"/>
      <c r="M83" s="621"/>
      <c r="N83" s="621"/>
      <c r="O83" s="621"/>
      <c r="P83" s="621"/>
      <c r="Q83" s="621"/>
      <c r="R83" s="608">
        <f>C83-H83</f>
        <v>6567.281</v>
      </c>
      <c r="S83" s="608">
        <f>D83-I83</f>
        <v>6567.281</v>
      </c>
      <c r="T83" s="608">
        <f>E83-J83-O83</f>
        <v>6567.281</v>
      </c>
      <c r="U83" s="608">
        <f>S83/R83*100</f>
        <v>100</v>
      </c>
      <c r="V83" s="617">
        <f>T83/R83*100</f>
        <v>100</v>
      </c>
    </row>
    <row r="84" spans="1:22" s="584" customFormat="1" ht="25.5">
      <c r="A84" s="138" t="s">
        <v>255</v>
      </c>
      <c r="B84" s="604"/>
      <c r="C84" s="620">
        <v>20874.828</v>
      </c>
      <c r="D84" s="620">
        <f t="shared" si="41"/>
        <v>20874.828</v>
      </c>
      <c r="E84" s="620">
        <f t="shared" si="41"/>
        <v>20874.828</v>
      </c>
      <c r="F84" s="608">
        <f t="shared" si="36"/>
        <v>100</v>
      </c>
      <c r="G84" s="608">
        <f t="shared" si="37"/>
        <v>100</v>
      </c>
      <c r="H84" s="621"/>
      <c r="I84" s="621"/>
      <c r="J84" s="621"/>
      <c r="K84" s="620"/>
      <c r="L84" s="621"/>
      <c r="M84" s="621"/>
      <c r="N84" s="621"/>
      <c r="O84" s="621"/>
      <c r="P84" s="621"/>
      <c r="Q84" s="621"/>
      <c r="R84" s="608">
        <f t="shared" si="35"/>
        <v>20874.828</v>
      </c>
      <c r="S84" s="608">
        <f t="shared" si="35"/>
        <v>20874.828</v>
      </c>
      <c r="T84" s="608">
        <f t="shared" si="38"/>
        <v>20874.828</v>
      </c>
      <c r="U84" s="608">
        <f t="shared" si="39"/>
        <v>100</v>
      </c>
      <c r="V84" s="617">
        <f t="shared" si="40"/>
        <v>100</v>
      </c>
    </row>
    <row r="85" spans="1:22" s="584" customFormat="1" ht="38.25">
      <c r="A85" s="605" t="s">
        <v>326</v>
      </c>
      <c r="B85" s="604"/>
      <c r="C85" s="620">
        <v>6927.075</v>
      </c>
      <c r="D85" s="620">
        <f t="shared" si="41"/>
        <v>6927.075</v>
      </c>
      <c r="E85" s="620">
        <f t="shared" si="41"/>
        <v>6927.075</v>
      </c>
      <c r="F85" s="608">
        <f t="shared" si="36"/>
        <v>100</v>
      </c>
      <c r="G85" s="608">
        <f t="shared" si="37"/>
        <v>100</v>
      </c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08">
        <f t="shared" si="35"/>
        <v>6927.075</v>
      </c>
      <c r="S85" s="608">
        <f t="shared" si="35"/>
        <v>6927.075</v>
      </c>
      <c r="T85" s="608">
        <f t="shared" si="38"/>
        <v>6927.075</v>
      </c>
      <c r="U85" s="608">
        <f t="shared" si="39"/>
        <v>100</v>
      </c>
      <c r="V85" s="617">
        <f t="shared" si="40"/>
        <v>100</v>
      </c>
    </row>
    <row r="86" spans="1:22" s="584" customFormat="1" ht="51" hidden="1">
      <c r="A86" s="138" t="s">
        <v>276</v>
      </c>
      <c r="B86" s="604"/>
      <c r="C86" s="619"/>
      <c r="D86" s="620"/>
      <c r="E86" s="620"/>
      <c r="F86" s="608" t="e">
        <f t="shared" si="36"/>
        <v>#DIV/0!</v>
      </c>
      <c r="G86" s="608" t="e">
        <f t="shared" si="37"/>
        <v>#DIV/0!</v>
      </c>
      <c r="H86" s="621"/>
      <c r="I86" s="621"/>
      <c r="J86" s="621"/>
      <c r="K86" s="621"/>
      <c r="L86" s="621"/>
      <c r="M86" s="621"/>
      <c r="N86" s="621"/>
      <c r="O86" s="621"/>
      <c r="P86" s="621"/>
      <c r="Q86" s="621"/>
      <c r="R86" s="608">
        <f aca="true" t="shared" si="42" ref="R86:S89">C86-H86</f>
        <v>0</v>
      </c>
      <c r="S86" s="608">
        <f t="shared" si="42"/>
        <v>0</v>
      </c>
      <c r="T86" s="608">
        <f t="shared" si="38"/>
        <v>0</v>
      </c>
      <c r="U86" s="608" t="e">
        <f t="shared" si="39"/>
        <v>#DIV/0!</v>
      </c>
      <c r="V86" s="617" t="e">
        <f t="shared" si="40"/>
        <v>#DIV/0!</v>
      </c>
    </row>
    <row r="87" spans="1:22" s="584" customFormat="1" ht="25.5" hidden="1">
      <c r="A87" s="138" t="s">
        <v>285</v>
      </c>
      <c r="B87" s="604"/>
      <c r="C87" s="619"/>
      <c r="D87" s="620"/>
      <c r="E87" s="620"/>
      <c r="F87" s="608" t="e">
        <f t="shared" si="36"/>
        <v>#DIV/0!</v>
      </c>
      <c r="G87" s="608" t="e">
        <f t="shared" si="37"/>
        <v>#DIV/0!</v>
      </c>
      <c r="H87" s="621"/>
      <c r="I87" s="621"/>
      <c r="J87" s="621"/>
      <c r="K87" s="621"/>
      <c r="L87" s="621"/>
      <c r="M87" s="621"/>
      <c r="N87" s="621"/>
      <c r="O87" s="621"/>
      <c r="P87" s="621"/>
      <c r="Q87" s="621"/>
      <c r="R87" s="608">
        <f t="shared" si="42"/>
        <v>0</v>
      </c>
      <c r="S87" s="608">
        <f t="shared" si="42"/>
        <v>0</v>
      </c>
      <c r="T87" s="608">
        <f>E87-J87-O87</f>
        <v>0</v>
      </c>
      <c r="U87" s="608" t="e">
        <f>S87/R87*100</f>
        <v>#DIV/0!</v>
      </c>
      <c r="V87" s="617" t="e">
        <f>T87/R87*100</f>
        <v>#DIV/0!</v>
      </c>
    </row>
    <row r="88" spans="1:22" s="584" customFormat="1" ht="38.25">
      <c r="A88" s="605" t="s">
        <v>327</v>
      </c>
      <c r="B88" s="604"/>
      <c r="C88" s="620">
        <v>1561</v>
      </c>
      <c r="D88" s="620">
        <f>C88</f>
        <v>1561</v>
      </c>
      <c r="E88" s="620">
        <f>D88</f>
        <v>1561</v>
      </c>
      <c r="F88" s="608">
        <f>D88/C88*100</f>
        <v>100</v>
      </c>
      <c r="G88" s="608">
        <f>E88/C88*100</f>
        <v>100</v>
      </c>
      <c r="H88" s="621"/>
      <c r="I88" s="621"/>
      <c r="J88" s="621"/>
      <c r="K88" s="621"/>
      <c r="L88" s="621"/>
      <c r="M88" s="621"/>
      <c r="N88" s="621"/>
      <c r="O88" s="621"/>
      <c r="P88" s="621"/>
      <c r="Q88" s="621"/>
      <c r="R88" s="608">
        <f t="shared" si="42"/>
        <v>1561</v>
      </c>
      <c r="S88" s="608">
        <f t="shared" si="42"/>
        <v>1561</v>
      </c>
      <c r="T88" s="608">
        <f>E88-J88-O88</f>
        <v>1561</v>
      </c>
      <c r="U88" s="608">
        <f>S88/R88*100</f>
        <v>100</v>
      </c>
      <c r="V88" s="617">
        <f>T88/R88*100</f>
        <v>100</v>
      </c>
    </row>
    <row r="89" spans="1:22" s="584" customFormat="1" ht="39" thickBot="1">
      <c r="A89" s="138" t="s">
        <v>103</v>
      </c>
      <c r="B89" s="604"/>
      <c r="C89" s="620">
        <v>528.66</v>
      </c>
      <c r="D89" s="620">
        <f>C89</f>
        <v>528.66</v>
      </c>
      <c r="E89" s="620">
        <f>D89</f>
        <v>528.66</v>
      </c>
      <c r="F89" s="608">
        <f t="shared" si="29"/>
        <v>100</v>
      </c>
      <c r="G89" s="608">
        <f t="shared" si="30"/>
        <v>100</v>
      </c>
      <c r="H89" s="621"/>
      <c r="I89" s="621"/>
      <c r="J89" s="621"/>
      <c r="K89" s="621"/>
      <c r="L89" s="621"/>
      <c r="M89" s="621"/>
      <c r="N89" s="621"/>
      <c r="O89" s="621"/>
      <c r="P89" s="621"/>
      <c r="Q89" s="621"/>
      <c r="R89" s="608">
        <f t="shared" si="42"/>
        <v>528.66</v>
      </c>
      <c r="S89" s="608">
        <f t="shared" si="42"/>
        <v>528.66</v>
      </c>
      <c r="T89" s="608">
        <f>E89-J89-O89</f>
        <v>528.66</v>
      </c>
      <c r="U89" s="608">
        <f>S89/R89*100</f>
        <v>100</v>
      </c>
      <c r="V89" s="617">
        <f>T89/R89*100</f>
        <v>100</v>
      </c>
    </row>
    <row r="90" spans="1:22" s="584" customFormat="1" ht="26.25" thickBot="1">
      <c r="A90" s="363" t="s">
        <v>21</v>
      </c>
      <c r="B90" s="607"/>
      <c r="C90" s="622">
        <f>C71+C73+C74+C75+C76+C77+C78+C79+C80+C82+C84+C85+C89+C81+C86+C72+C87+C88+C83</f>
        <v>2709964.8198900013</v>
      </c>
      <c r="D90" s="622">
        <f>D71+D73+D74+D75+D76+D77+D78+D79+D80+D82+D84+D85+D89+D81+D86+D72+D87+D88+D83</f>
        <v>2461639.0259</v>
      </c>
      <c r="E90" s="622">
        <f>E71+E73+E74+E75+E76+E77+E78+E79+E80+E82+E84+E85+E89+E81+E86+E72+E87+E88+E83</f>
        <v>2445309.96867</v>
      </c>
      <c r="F90" s="382">
        <f t="shared" si="29"/>
        <v>90.83656761270868</v>
      </c>
      <c r="G90" s="382">
        <f t="shared" si="30"/>
        <v>90.23401155330333</v>
      </c>
      <c r="H90" s="622">
        <f>H71+H73+H74+H75+H76+H77+H78+H79+H80+H82+H84+H85+H89+H81+H86+H72+H87+H88+H83</f>
        <v>309247.514</v>
      </c>
      <c r="I90" s="622">
        <f>I71+I73+I74+I75+I76+I77+I78+I79+I80+I82+I84+I85+I89+I81+I86+I72+I87+I88+I83</f>
        <v>295918.65135999996</v>
      </c>
      <c r="J90" s="622">
        <f>J71+J73+J74+J75+J76+J77+J78+J79+J80+J82+J84+J85+J89+J81+J86+J72+J87+J88+J83</f>
        <v>295187.62467999995</v>
      </c>
      <c r="K90" s="382">
        <f>I90/H90*100</f>
        <v>95.68990467616175</v>
      </c>
      <c r="L90" s="382">
        <f>J90/H90*100</f>
        <v>95.45351581387325</v>
      </c>
      <c r="M90" s="622">
        <f>M71+M73+M74+M75+M76+M77+M78+M79+M80+M82+M84+M85+M89+M81+M86+M72+M87+M88+M83</f>
        <v>54828.66456</v>
      </c>
      <c r="N90" s="622">
        <f>N71+N73+N74+N75+N76+N77+N78+N79+N80+N82+N84+N85+N89+N81+N86+N72+N87+N88+N83</f>
        <v>39087.65896</v>
      </c>
      <c r="O90" s="622">
        <f>O71+O73+O74+O75+O76+O77+O78+O79+O80+O82+O84+O85+O89+O81+O86+O72+O87+O88+O83</f>
        <v>38327.1096</v>
      </c>
      <c r="P90" s="382">
        <f>N90/M90*100</f>
        <v>71.29055444570544</v>
      </c>
      <c r="Q90" s="382">
        <f>O90/M90*100</f>
        <v>69.90341622867352</v>
      </c>
      <c r="R90" s="622">
        <f>R71+R73+R74+R75+R76+R77+R78+R79+R80+R82+R84+R85+R89+R81+R86+R72+R87+R88+R83</f>
        <v>2345888.6413300005</v>
      </c>
      <c r="S90" s="622">
        <f>S71+S73+S74+S75+S76+S77+S78+S79+S80+S82+S84+S85+S89+S81+S86+S72+S87+S88+S83</f>
        <v>2126632.7155800005</v>
      </c>
      <c r="T90" s="622">
        <f>T71+T73+T74+T75+T76+T77+T78+T79+T80+T82+T84+T85+T89+T81+T86+T72+T87+T88+T83</f>
        <v>2111795.2343900003</v>
      </c>
      <c r="U90" s="382">
        <f>S90/R90*100</f>
        <v>90.65360896134895</v>
      </c>
      <c r="V90" s="383">
        <f>T90/R90*100</f>
        <v>90.02112023496218</v>
      </c>
    </row>
    <row r="92" ht="13.5" customHeight="1"/>
    <row r="94" spans="1:7" ht="12.75">
      <c r="A94" s="23" t="s">
        <v>144</v>
      </c>
      <c r="B94" s="23"/>
      <c r="C94" s="23"/>
      <c r="D94" s="23"/>
      <c r="E94" s="23"/>
      <c r="F94" s="23"/>
      <c r="G94" s="23"/>
    </row>
    <row r="95" spans="1:22" ht="12.75">
      <c r="A95" s="14" t="s">
        <v>145</v>
      </c>
      <c r="V95" s="24" t="s">
        <v>267</v>
      </c>
    </row>
    <row r="96" spans="1:7" ht="12.75" hidden="1">
      <c r="A96" s="82" t="s">
        <v>263</v>
      </c>
      <c r="B96" s="82"/>
      <c r="C96" s="81"/>
      <c r="D96" s="81"/>
      <c r="E96" s="81"/>
      <c r="F96" s="81"/>
      <c r="G96" s="81"/>
    </row>
    <row r="97" spans="1:22" ht="12.75" hidden="1">
      <c r="A97" s="82" t="s">
        <v>264</v>
      </c>
      <c r="B97" s="82"/>
      <c r="C97" s="81"/>
      <c r="D97" s="82"/>
      <c r="E97" s="81"/>
      <c r="F97" s="82"/>
      <c r="G97" s="83"/>
      <c r="V97" s="24"/>
    </row>
    <row r="98" spans="1:22" ht="12.75">
      <c r="A98" s="82"/>
      <c r="B98" s="82"/>
      <c r="C98" s="81"/>
      <c r="D98" s="81"/>
      <c r="E98" s="81"/>
      <c r="F98" s="81"/>
      <c r="I98" s="20"/>
      <c r="V98" s="81"/>
    </row>
    <row r="99" spans="3:19" ht="12.75">
      <c r="C99" s="20"/>
      <c r="D99" s="20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</row>
    <row r="100" spans="3:15" ht="12" customHeight="1">
      <c r="C100" s="136"/>
      <c r="D100" s="136"/>
      <c r="E100" s="136"/>
      <c r="H100" s="364"/>
      <c r="I100" s="364"/>
      <c r="J100" s="365"/>
      <c r="K100" s="364"/>
      <c r="L100" s="364"/>
      <c r="M100" s="364"/>
      <c r="N100" s="364"/>
      <c r="O100" s="365"/>
    </row>
    <row r="101" spans="5:15" ht="12.75">
      <c r="E101" s="20"/>
      <c r="H101" s="366"/>
      <c r="I101" s="366"/>
      <c r="J101" s="366"/>
      <c r="K101" s="366"/>
      <c r="L101" s="366"/>
      <c r="M101" s="366"/>
      <c r="N101" s="366"/>
      <c r="O101" s="365"/>
    </row>
    <row r="102" ht="12.75">
      <c r="E102" s="20"/>
    </row>
    <row r="103" ht="12.75">
      <c r="C103" s="136"/>
    </row>
    <row r="104" spans="3:5" ht="12.75">
      <c r="C104" s="20"/>
      <c r="D104" s="20"/>
      <c r="E104" s="20"/>
    </row>
    <row r="106" ht="12.75">
      <c r="E106" s="20"/>
    </row>
    <row r="107" spans="3:7" ht="12.75">
      <c r="C107" s="20"/>
      <c r="D107" s="20"/>
      <c r="E107" s="20"/>
      <c r="F107" s="77"/>
      <c r="G107" s="20"/>
    </row>
    <row r="108" ht="12.75">
      <c r="E108" s="20"/>
    </row>
    <row r="109" spans="4:7" ht="12.75">
      <c r="D109" s="367"/>
      <c r="E109" s="367"/>
      <c r="F109" s="367"/>
      <c r="G109" s="367"/>
    </row>
    <row r="110" spans="4:7" ht="12.75">
      <c r="D110" s="367"/>
      <c r="E110" s="367"/>
      <c r="F110" s="367"/>
      <c r="G110" s="367"/>
    </row>
    <row r="111" spans="4:7" ht="12.75">
      <c r="D111" s="367"/>
      <c r="E111" s="367"/>
      <c r="F111" s="367"/>
      <c r="G111" s="367"/>
    </row>
    <row r="112" spans="4:7" ht="12.75">
      <c r="D112" s="367"/>
      <c r="E112" s="367"/>
      <c r="F112" s="367"/>
      <c r="G112" s="367"/>
    </row>
    <row r="113" spans="4:7" ht="12.75">
      <c r="D113" s="367"/>
      <c r="E113" s="367"/>
      <c r="F113" s="367"/>
      <c r="G113" s="367"/>
    </row>
    <row r="114" spans="4:7" ht="12.75">
      <c r="D114" s="367"/>
      <c r="E114" s="367"/>
      <c r="F114" s="367"/>
      <c r="G114" s="367"/>
    </row>
    <row r="115" spans="4:7" ht="12.75">
      <c r="D115" s="367"/>
      <c r="E115" s="367"/>
      <c r="F115" s="367"/>
      <c r="G115" s="367"/>
    </row>
    <row r="116" spans="4:7" ht="12.75">
      <c r="D116" s="367"/>
      <c r="E116" s="367"/>
      <c r="F116" s="367"/>
      <c r="G116" s="367"/>
    </row>
    <row r="117" spans="4:7" ht="12.75">
      <c r="D117" s="367"/>
      <c r="E117" s="367"/>
      <c r="F117" s="367"/>
      <c r="G117" s="367"/>
    </row>
    <row r="118" spans="4:7" ht="12.75">
      <c r="D118" s="367"/>
      <c r="E118" s="367"/>
      <c r="F118" s="367"/>
      <c r="G118" s="367"/>
    </row>
    <row r="119" spans="4:7" ht="12.75">
      <c r="D119" s="367"/>
      <c r="E119" s="367"/>
      <c r="F119" s="367"/>
      <c r="G119" s="367"/>
    </row>
    <row r="120" spans="4:7" ht="12.75">
      <c r="D120" s="367"/>
      <c r="E120" s="367"/>
      <c r="F120" s="367"/>
      <c r="G120" s="367"/>
    </row>
    <row r="121" spans="4:7" ht="12.75">
      <c r="D121" s="367"/>
      <c r="E121" s="367"/>
      <c r="F121" s="367"/>
      <c r="G121" s="367"/>
    </row>
  </sheetData>
  <sheetProtection/>
  <mergeCells count="24">
    <mergeCell ref="A5:A8"/>
    <mergeCell ref="K7:L7"/>
    <mergeCell ref="N7:N8"/>
    <mergeCell ref="I7:I8"/>
    <mergeCell ref="M6:Q6"/>
    <mergeCell ref="P7:Q7"/>
    <mergeCell ref="D7:D8"/>
    <mergeCell ref="F7:G7"/>
    <mergeCell ref="A1:V1"/>
    <mergeCell ref="T7:T8"/>
    <mergeCell ref="M7:M8"/>
    <mergeCell ref="R7:R8"/>
    <mergeCell ref="H6:L6"/>
    <mergeCell ref="E7:E8"/>
    <mergeCell ref="A3:U3"/>
    <mergeCell ref="C5:V5"/>
    <mergeCell ref="C6:G6"/>
    <mergeCell ref="B7:C8"/>
    <mergeCell ref="S7:S8"/>
    <mergeCell ref="U7:V7"/>
    <mergeCell ref="H7:H8"/>
    <mergeCell ref="J7:J8"/>
    <mergeCell ref="O7:O8"/>
    <mergeCell ref="R6:V6"/>
  </mergeCells>
  <printOptions horizontalCentered="1"/>
  <pageMargins left="0.7874015748031497" right="0.3937007874015748" top="0.7874015748031497" bottom="0.7874015748031497" header="0.2755905511811024" footer="0.1968503937007874"/>
  <pageSetup fitToHeight="2" fitToWidth="1" horizontalDpi="600" verticalDpi="600" orientation="landscape" paperSize="9" scale="51" r:id="rId1"/>
  <headerFooter differentFirst="1" alignWithMargins="0">
    <oddHeader>&amp;C&amp;P</oddHeader>
  </headerFooter>
  <rowBreaks count="1" manualBreakCount="1">
    <brk id="9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showZeros="0" zoomScaleSheetLayoutView="85" zoomScalePageLayoutView="0" workbookViewId="0" topLeftCell="A1">
      <selection activeCell="A9" sqref="A9"/>
    </sheetView>
  </sheetViews>
  <sheetFormatPr defaultColWidth="9.00390625" defaultRowHeight="12.75"/>
  <cols>
    <col min="1" max="1" width="70.125" style="14" customWidth="1"/>
    <col min="2" max="3" width="13.375" style="14" customWidth="1"/>
    <col min="4" max="4" width="20.625" style="14" customWidth="1"/>
    <col min="5" max="5" width="13.875" style="14" customWidth="1"/>
    <col min="6" max="6" width="16.375" style="14" customWidth="1"/>
    <col min="7" max="7" width="15.625" style="14" customWidth="1"/>
    <col min="8" max="16384" width="9.125" style="14" customWidth="1"/>
  </cols>
  <sheetData>
    <row r="2" spans="1:7" ht="15.75">
      <c r="A2" s="180" t="s">
        <v>349</v>
      </c>
      <c r="B2" s="180"/>
      <c r="C2" s="180"/>
      <c r="D2" s="180"/>
      <c r="E2" s="180"/>
      <c r="F2" s="180"/>
      <c r="G2" s="180"/>
    </row>
    <row r="4" ht="12.75" hidden="1"/>
    <row r="5" ht="13.5" thickBot="1">
      <c r="G5" s="15" t="s">
        <v>94</v>
      </c>
    </row>
    <row r="6" spans="1:7" ht="12.75" customHeight="1">
      <c r="A6" s="191" t="s">
        <v>85</v>
      </c>
      <c r="B6" s="193" t="s">
        <v>56</v>
      </c>
      <c r="C6" s="194"/>
      <c r="D6" s="195"/>
      <c r="E6" s="195"/>
      <c r="F6" s="195"/>
      <c r="G6" s="196"/>
    </row>
    <row r="7" spans="1:7" ht="8.25" customHeight="1">
      <c r="A7" s="192"/>
      <c r="B7" s="197"/>
      <c r="C7" s="198"/>
      <c r="D7" s="199"/>
      <c r="E7" s="199"/>
      <c r="F7" s="199"/>
      <c r="G7" s="200"/>
    </row>
    <row r="8" spans="1:7" ht="20.25" customHeight="1">
      <c r="A8" s="192"/>
      <c r="B8" s="204" t="s">
        <v>222</v>
      </c>
      <c r="C8" s="205"/>
      <c r="D8" s="187" t="s">
        <v>12</v>
      </c>
      <c r="E8" s="189" t="s">
        <v>57</v>
      </c>
      <c r="F8" s="31" t="s">
        <v>133</v>
      </c>
      <c r="G8" s="32" t="s">
        <v>132</v>
      </c>
    </row>
    <row r="9" spans="1:7" ht="43.5" thickBot="1">
      <c r="A9" s="148" t="s">
        <v>58</v>
      </c>
      <c r="B9" s="92" t="s">
        <v>298</v>
      </c>
      <c r="C9" s="97" t="s">
        <v>341</v>
      </c>
      <c r="D9" s="188"/>
      <c r="E9" s="190"/>
      <c r="F9" s="201" t="s">
        <v>350</v>
      </c>
      <c r="G9" s="202"/>
    </row>
    <row r="10" spans="1:7" s="561" customFormat="1" ht="55.5" customHeight="1">
      <c r="A10" s="560" t="s">
        <v>299</v>
      </c>
      <c r="B10" s="572">
        <v>520.9845</v>
      </c>
      <c r="C10" s="572">
        <v>367.9625</v>
      </c>
      <c r="D10" s="572">
        <v>99.4505</v>
      </c>
      <c r="E10" s="572">
        <f>D10</f>
        <v>99.4505</v>
      </c>
      <c r="F10" s="572">
        <f>D10/C10*100</f>
        <v>27.027346536671537</v>
      </c>
      <c r="G10" s="576">
        <f>E10/C10*100</f>
        <v>27.027346536671537</v>
      </c>
    </row>
    <row r="11" spans="1:7" s="561" customFormat="1" ht="42" customHeight="1">
      <c r="A11" s="562" t="s">
        <v>300</v>
      </c>
      <c r="B11" s="573">
        <v>3921.5</v>
      </c>
      <c r="C11" s="573">
        <v>3921.5</v>
      </c>
      <c r="D11" s="573">
        <v>3921.5</v>
      </c>
      <c r="E11" s="572">
        <f>D11</f>
        <v>3921.5</v>
      </c>
      <c r="F11" s="573">
        <f>D11/C11*100</f>
        <v>100</v>
      </c>
      <c r="G11" s="577">
        <f>E11/C11*100</f>
        <v>100</v>
      </c>
    </row>
    <row r="12" spans="1:7" s="561" customFormat="1" ht="30.75" customHeight="1">
      <c r="A12" s="562" t="s">
        <v>302</v>
      </c>
      <c r="B12" s="573">
        <v>1600</v>
      </c>
      <c r="C12" s="573">
        <v>1338.654</v>
      </c>
      <c r="D12" s="573">
        <f>C12</f>
        <v>1338.654</v>
      </c>
      <c r="E12" s="573">
        <f>D12</f>
        <v>1338.654</v>
      </c>
      <c r="F12" s="573">
        <f>D12/C12*100</f>
        <v>100</v>
      </c>
      <c r="G12" s="577">
        <f>E12/C12*100</f>
        <v>100</v>
      </c>
    </row>
    <row r="13" spans="1:7" s="561" customFormat="1" ht="30.75" customHeight="1" thickBot="1">
      <c r="A13" s="562" t="s">
        <v>313</v>
      </c>
      <c r="B13" s="573">
        <v>3400</v>
      </c>
      <c r="C13" s="573">
        <v>1973.627</v>
      </c>
      <c r="D13" s="573">
        <v>1463.627</v>
      </c>
      <c r="E13" s="573">
        <f>D13</f>
        <v>1463.627</v>
      </c>
      <c r="F13" s="573">
        <f>D13/C13*100</f>
        <v>74.15925096282125</v>
      </c>
      <c r="G13" s="577">
        <f>E13/C13*100</f>
        <v>74.15925096282125</v>
      </c>
    </row>
    <row r="14" spans="1:7" s="532" customFormat="1" ht="25.5" customHeight="1" thickBot="1">
      <c r="A14" s="74" t="s">
        <v>59</v>
      </c>
      <c r="B14" s="578">
        <f>B10+B11+B12+B13</f>
        <v>9442.4845</v>
      </c>
      <c r="C14" s="578">
        <f>C10+C11+C12+C13</f>
        <v>7601.7435000000005</v>
      </c>
      <c r="D14" s="578">
        <f>D10+D11+D12+D13</f>
        <v>6823.2315</v>
      </c>
      <c r="E14" s="578">
        <f>E10+E11+E12+E13</f>
        <v>6823.2315</v>
      </c>
      <c r="F14" s="579">
        <f>D14/C14*100</f>
        <v>89.7587704715372</v>
      </c>
      <c r="G14" s="580">
        <f>E14/C14*100</f>
        <v>89.7587704715372</v>
      </c>
    </row>
    <row r="15" spans="1:9" s="561" customFormat="1" ht="21.75" customHeight="1">
      <c r="A15" s="181" t="s">
        <v>60</v>
      </c>
      <c r="B15" s="206" t="s">
        <v>222</v>
      </c>
      <c r="C15" s="207"/>
      <c r="D15" s="183" t="s">
        <v>311</v>
      </c>
      <c r="E15" s="185" t="s">
        <v>57</v>
      </c>
      <c r="F15" s="95" t="s">
        <v>133</v>
      </c>
      <c r="G15" s="96" t="s">
        <v>90</v>
      </c>
      <c r="I15" s="565"/>
    </row>
    <row r="16" spans="1:7" s="561" customFormat="1" ht="43.5" thickBot="1">
      <c r="A16" s="182"/>
      <c r="B16" s="92" t="str">
        <f>B9</f>
        <v>2019 рік</v>
      </c>
      <c r="C16" s="92" t="str">
        <f>C9</f>
        <v>перше півріччя 2019 року</v>
      </c>
      <c r="D16" s="184"/>
      <c r="E16" s="186"/>
      <c r="F16" s="186" t="str">
        <f>F9</f>
        <v>до плану на перше півріччя 
2019 року</v>
      </c>
      <c r="G16" s="203"/>
    </row>
    <row r="17" spans="1:10" s="561" customFormat="1" ht="44.25" customHeight="1">
      <c r="A17" s="566" t="s">
        <v>300</v>
      </c>
      <c r="B17" s="572">
        <v>1045.192</v>
      </c>
      <c r="C17" s="572">
        <v>522.596</v>
      </c>
      <c r="D17" s="572">
        <v>522.596</v>
      </c>
      <c r="E17" s="572">
        <v>433.99</v>
      </c>
      <c r="F17" s="572">
        <f aca="true" t="shared" si="0" ref="F17:F22">D17/C17*100</f>
        <v>100</v>
      </c>
      <c r="G17" s="576">
        <f>E17/C17*100</f>
        <v>83.04502904729466</v>
      </c>
      <c r="J17" s="565"/>
    </row>
    <row r="18" spans="1:7" s="561" customFormat="1" ht="43.5" customHeight="1">
      <c r="A18" s="562" t="s">
        <v>301</v>
      </c>
      <c r="B18" s="573">
        <v>-1006.612</v>
      </c>
      <c r="C18" s="572">
        <v>-503.306</v>
      </c>
      <c r="D18" s="573">
        <f>C18</f>
        <v>-503.306</v>
      </c>
      <c r="E18" s="563" t="s">
        <v>10</v>
      </c>
      <c r="F18" s="572">
        <f t="shared" si="0"/>
        <v>100</v>
      </c>
      <c r="G18" s="576" t="s">
        <v>10</v>
      </c>
    </row>
    <row r="19" spans="1:7" s="561" customFormat="1" ht="30" customHeight="1">
      <c r="A19" s="562" t="s">
        <v>302</v>
      </c>
      <c r="B19" s="574">
        <v>2800</v>
      </c>
      <c r="C19" s="575">
        <v>1750</v>
      </c>
      <c r="D19" s="574">
        <v>1750</v>
      </c>
      <c r="E19" s="574">
        <v>1735</v>
      </c>
      <c r="F19" s="572">
        <f t="shared" si="0"/>
        <v>100</v>
      </c>
      <c r="G19" s="576">
        <f>E19/C19*100</f>
        <v>99.14285714285714</v>
      </c>
    </row>
    <row r="20" spans="1:7" s="561" customFormat="1" ht="31.5" customHeight="1">
      <c r="A20" s="568" t="s">
        <v>314</v>
      </c>
      <c r="B20" s="574">
        <v>-2800</v>
      </c>
      <c r="C20" s="574">
        <v>-1750</v>
      </c>
      <c r="D20" s="574">
        <f>C20</f>
        <v>-1750</v>
      </c>
      <c r="E20" s="567" t="s">
        <v>10</v>
      </c>
      <c r="F20" s="563">
        <f t="shared" si="0"/>
        <v>100</v>
      </c>
      <c r="G20" s="564" t="s">
        <v>10</v>
      </c>
    </row>
    <row r="21" spans="1:7" s="561" customFormat="1" ht="31.5" customHeight="1">
      <c r="A21" s="568" t="s">
        <v>313</v>
      </c>
      <c r="B21" s="573">
        <v>1200</v>
      </c>
      <c r="C21" s="573">
        <v>200</v>
      </c>
      <c r="D21" s="573">
        <v>0</v>
      </c>
      <c r="E21" s="573">
        <v>0</v>
      </c>
      <c r="F21" s="572">
        <f t="shared" si="0"/>
        <v>0</v>
      </c>
      <c r="G21" s="576">
        <f>E21/C21*100</f>
        <v>0</v>
      </c>
    </row>
    <row r="22" spans="1:7" s="561" customFormat="1" ht="31.5" customHeight="1">
      <c r="A22" s="568" t="s">
        <v>315</v>
      </c>
      <c r="B22" s="573">
        <v>-1200</v>
      </c>
      <c r="C22" s="573">
        <v>-200</v>
      </c>
      <c r="D22" s="573">
        <v>-200</v>
      </c>
      <c r="E22" s="567" t="s">
        <v>10</v>
      </c>
      <c r="F22" s="563">
        <f t="shared" si="0"/>
        <v>100</v>
      </c>
      <c r="G22" s="564" t="s">
        <v>10</v>
      </c>
    </row>
    <row r="23" spans="1:7" s="561" customFormat="1" ht="14.25" customHeight="1" thickBot="1">
      <c r="A23" s="109" t="s">
        <v>61</v>
      </c>
      <c r="B23" s="571">
        <f>B17+B18+B19+B20+B21+B22</f>
        <v>38.57999999999993</v>
      </c>
      <c r="C23" s="571">
        <f>C17+C18+C19+C20+C21+C22</f>
        <v>19.289999999999964</v>
      </c>
      <c r="D23" s="571">
        <f>D17+D18+D19+D20+D21+D22</f>
        <v>-180.71000000000004</v>
      </c>
      <c r="E23" s="571">
        <f>E17+E19+E21</f>
        <v>2168.99</v>
      </c>
      <c r="F23" s="569" t="s">
        <v>10</v>
      </c>
      <c r="G23" s="570" t="s">
        <v>10</v>
      </c>
    </row>
    <row r="24" ht="12.75" hidden="1"/>
    <row r="25" ht="12.75" hidden="1">
      <c r="E25" s="20"/>
    </row>
    <row r="26" ht="8.25" customHeight="1">
      <c r="E26" s="20"/>
    </row>
    <row r="27" spans="1:7" ht="12.75">
      <c r="A27" s="34" t="s">
        <v>144</v>
      </c>
      <c r="B27" s="34"/>
      <c r="C27" s="34"/>
      <c r="D27" s="34"/>
      <c r="E27" s="34"/>
      <c r="F27" s="34"/>
      <c r="G27" s="34"/>
    </row>
    <row r="28" spans="1:7" ht="12.75">
      <c r="A28" s="34" t="s">
        <v>145</v>
      </c>
      <c r="B28" s="34"/>
      <c r="C28" s="34"/>
      <c r="D28" s="34"/>
      <c r="E28" s="34"/>
      <c r="F28" s="34"/>
      <c r="G28" s="35" t="s">
        <v>267</v>
      </c>
    </row>
    <row r="29" spans="1:7" ht="12.75" hidden="1">
      <c r="A29" s="79" t="s">
        <v>263</v>
      </c>
      <c r="B29" s="79"/>
      <c r="C29" s="80"/>
      <c r="D29" s="81"/>
      <c r="E29" s="80"/>
      <c r="F29" s="80"/>
      <c r="G29" s="80"/>
    </row>
    <row r="30" spans="1:22" ht="12.75" hidden="1">
      <c r="A30" s="82" t="s">
        <v>264</v>
      </c>
      <c r="B30" s="82"/>
      <c r="C30" s="81"/>
      <c r="D30" s="82"/>
      <c r="E30" s="81"/>
      <c r="F30" s="82"/>
      <c r="G30" s="83"/>
      <c r="V30" s="24"/>
    </row>
    <row r="31" spans="1:21" ht="12.75" hidden="1">
      <c r="A31" s="79" t="s">
        <v>265</v>
      </c>
      <c r="B31" s="79"/>
      <c r="C31" s="80"/>
      <c r="D31" s="81"/>
      <c r="E31" s="80"/>
      <c r="F31" s="80"/>
      <c r="G31" s="80" t="s">
        <v>266</v>
      </c>
      <c r="H31"/>
      <c r="I31" s="2"/>
      <c r="J31"/>
      <c r="K31"/>
      <c r="L31"/>
      <c r="M31"/>
      <c r="N31"/>
      <c r="O31"/>
      <c r="P31"/>
      <c r="Q31"/>
      <c r="R31"/>
      <c r="S31"/>
      <c r="T31"/>
      <c r="U31"/>
    </row>
    <row r="32" spans="1:6" ht="15">
      <c r="A32" s="16"/>
      <c r="B32" s="16"/>
      <c r="C32" s="16"/>
      <c r="D32" s="16"/>
      <c r="E32" s="17"/>
      <c r="F32" s="18"/>
    </row>
    <row r="33" spans="1:6" ht="15">
      <c r="A33" s="19"/>
      <c r="E33" s="19"/>
      <c r="F33" s="18"/>
    </row>
  </sheetData>
  <sheetProtection/>
  <mergeCells count="12">
    <mergeCell ref="B8:C8"/>
    <mergeCell ref="B15:C15"/>
    <mergeCell ref="A2:G2"/>
    <mergeCell ref="A15:A16"/>
    <mergeCell ref="D15:D16"/>
    <mergeCell ref="E15:E16"/>
    <mergeCell ref="D8:D9"/>
    <mergeCell ref="E8:E9"/>
    <mergeCell ref="A6:A8"/>
    <mergeCell ref="B6:G7"/>
    <mergeCell ref="F9:G9"/>
    <mergeCell ref="F16:G16"/>
  </mergeCells>
  <printOptions horizontalCentered="1"/>
  <pageMargins left="0.1968503937007874" right="0.1968503937007874" top="0.1968503937007874" bottom="0.1968503937007874" header="0.3937007874015748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6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D82" sqref="D82"/>
      <selection pane="topRight" activeCell="D82" sqref="D82"/>
      <selection pane="bottomLeft" activeCell="D82" sqref="D82"/>
      <selection pane="bottomRight" activeCell="A3" sqref="A3:A5"/>
    </sheetView>
  </sheetViews>
  <sheetFormatPr defaultColWidth="9.00390625" defaultRowHeight="12.75"/>
  <cols>
    <col min="1" max="1" width="51.375" style="34" customWidth="1"/>
    <col min="2" max="2" width="15.375" style="34" customWidth="1"/>
    <col min="3" max="3" width="15.125" style="34" customWidth="1"/>
    <col min="4" max="4" width="13.125" style="34" customWidth="1"/>
    <col min="5" max="5" width="13.375" style="34" customWidth="1"/>
    <col min="6" max="16384" width="9.125" style="34" customWidth="1"/>
  </cols>
  <sheetData>
    <row r="1" spans="1:5" ht="12.75" customHeight="1">
      <c r="A1" s="324" t="s">
        <v>345</v>
      </c>
      <c r="B1" s="324"/>
      <c r="C1" s="324"/>
      <c r="D1" s="324"/>
      <c r="E1" s="324"/>
    </row>
    <row r="2" ht="13.5" thickBot="1">
      <c r="E2" s="35" t="s">
        <v>94</v>
      </c>
    </row>
    <row r="3" spans="1:5" ht="12.75" customHeight="1">
      <c r="A3" s="325" t="s">
        <v>52</v>
      </c>
      <c r="B3" s="326" t="s">
        <v>346</v>
      </c>
      <c r="C3" s="327" t="s">
        <v>2</v>
      </c>
      <c r="D3" s="328" t="s">
        <v>347</v>
      </c>
      <c r="E3" s="329" t="s">
        <v>24</v>
      </c>
    </row>
    <row r="4" spans="1:5" ht="15.75" customHeight="1">
      <c r="A4" s="330"/>
      <c r="B4" s="331"/>
      <c r="C4" s="233"/>
      <c r="D4" s="233"/>
      <c r="E4" s="234"/>
    </row>
    <row r="5" spans="1:5" ht="40.5" customHeight="1">
      <c r="A5" s="332"/>
      <c r="B5" s="331"/>
      <c r="C5" s="233"/>
      <c r="D5" s="233"/>
      <c r="E5" s="234"/>
    </row>
    <row r="6" spans="1:5" s="507" customFormat="1" ht="13.5" customHeight="1">
      <c r="A6" s="506" t="s">
        <v>5</v>
      </c>
      <c r="B6" s="405"/>
      <c r="C6" s="405"/>
      <c r="D6" s="405"/>
      <c r="E6" s="406"/>
    </row>
    <row r="7" spans="1:5" s="507" customFormat="1" ht="12.75">
      <c r="A7" s="508" t="s">
        <v>68</v>
      </c>
      <c r="B7" s="553">
        <f>'Доходи заг'!C27</f>
        <v>328717.50000000006</v>
      </c>
      <c r="C7" s="553">
        <f>'Доходи заг'!D27</f>
        <v>341887.85955999995</v>
      </c>
      <c r="D7" s="373">
        <f>C7/B7*100</f>
        <v>104.00658911071052</v>
      </c>
      <c r="E7" s="556">
        <f>C7-B7</f>
        <v>13170.359559999895</v>
      </c>
    </row>
    <row r="8" spans="1:5" s="507" customFormat="1" ht="12.75" hidden="1">
      <c r="A8" s="126" t="e">
        <f>'Доходи заг'!#REF!</f>
        <v>#REF!</v>
      </c>
      <c r="B8" s="553" t="e">
        <f>'Доходи заг'!#REF!</f>
        <v>#REF!</v>
      </c>
      <c r="C8" s="553" t="e">
        <f>'Доходи заг'!#REF!</f>
        <v>#REF!</v>
      </c>
      <c r="D8" s="373" t="e">
        <f>C8/B8*100</f>
        <v>#REF!</v>
      </c>
      <c r="E8" s="556" t="e">
        <f aca="true" t="shared" si="0" ref="E8:E40">C8-B8</f>
        <v>#REF!</v>
      </c>
    </row>
    <row r="9" spans="1:5" s="507" customFormat="1" ht="12.75">
      <c r="A9" s="508" t="s">
        <v>182</v>
      </c>
      <c r="B9" s="553">
        <f>'Доходи заг'!C28</f>
        <v>43629</v>
      </c>
      <c r="C9" s="553">
        <f>'Доходи заг'!D28</f>
        <v>43629</v>
      </c>
      <c r="D9" s="373">
        <f>C9/B9*100</f>
        <v>100</v>
      </c>
      <c r="E9" s="556">
        <f t="shared" si="0"/>
        <v>0</v>
      </c>
    </row>
    <row r="10" spans="1:5" s="507" customFormat="1" ht="51">
      <c r="A10" s="143" t="s">
        <v>277</v>
      </c>
      <c r="B10" s="553">
        <f>'Доходи заг'!C29</f>
        <v>291993.6</v>
      </c>
      <c r="C10" s="553">
        <f>'Доходи заг'!D29</f>
        <v>291993.6</v>
      </c>
      <c r="D10" s="373">
        <f aca="true" t="shared" si="1" ref="D10:D15">C10/B10*100</f>
        <v>100</v>
      </c>
      <c r="E10" s="556">
        <f aca="true" t="shared" si="2" ref="E10:E15">C10-B10</f>
        <v>0</v>
      </c>
    </row>
    <row r="11" spans="1:5" s="507" customFormat="1" ht="12.75">
      <c r="A11" s="511" t="str">
        <f>'Доходи заг'!A30</f>
        <v> - для обласного бюджету</v>
      </c>
      <c r="B11" s="553">
        <f>'Доходи заг'!C30</f>
        <v>147711.55099999998</v>
      </c>
      <c r="C11" s="553">
        <f>'Доходи заг'!D30</f>
        <v>147711.55099999998</v>
      </c>
      <c r="D11" s="373">
        <f t="shared" si="1"/>
        <v>100</v>
      </c>
      <c r="E11" s="556">
        <f t="shared" si="2"/>
        <v>0</v>
      </c>
    </row>
    <row r="12" spans="1:5" s="507" customFormat="1" ht="12.75">
      <c r="A12" s="511" t="str">
        <f>'Доходи заг'!A31</f>
        <v> - для місцевих бюджетів</v>
      </c>
      <c r="B12" s="553">
        <f>'Доходи заг'!C31</f>
        <v>144282.049</v>
      </c>
      <c r="C12" s="553">
        <f>'Доходи заг'!D31</f>
        <v>144282.049</v>
      </c>
      <c r="D12" s="373">
        <f t="shared" si="1"/>
        <v>100</v>
      </c>
      <c r="E12" s="556">
        <f t="shared" si="2"/>
        <v>0</v>
      </c>
    </row>
    <row r="13" spans="1:5" s="507" customFormat="1" ht="38.25">
      <c r="A13" s="143" t="s">
        <v>325</v>
      </c>
      <c r="B13" s="553">
        <f>'Доходи заг'!C32</f>
        <v>13164.5</v>
      </c>
      <c r="C13" s="553">
        <f>'Доходи заг'!D32</f>
        <v>13164.5</v>
      </c>
      <c r="D13" s="373">
        <f t="shared" si="1"/>
        <v>100</v>
      </c>
      <c r="E13" s="556">
        <f t="shared" si="2"/>
        <v>0</v>
      </c>
    </row>
    <row r="14" spans="1:5" s="507" customFormat="1" ht="12.75">
      <c r="A14" s="118" t="s">
        <v>38</v>
      </c>
      <c r="B14" s="553">
        <f>'Доходи заг'!C33</f>
        <v>6237.425</v>
      </c>
      <c r="C14" s="553">
        <f>'Доходи заг'!D33</f>
        <v>6237.425</v>
      </c>
      <c r="D14" s="373">
        <f t="shared" si="1"/>
        <v>100</v>
      </c>
      <c r="E14" s="556">
        <f t="shared" si="2"/>
        <v>0</v>
      </c>
    </row>
    <row r="15" spans="1:5" s="507" customFormat="1" ht="12.75">
      <c r="A15" s="118" t="s">
        <v>39</v>
      </c>
      <c r="B15" s="553">
        <f>'Доходи заг'!C34</f>
        <v>6927.075</v>
      </c>
      <c r="C15" s="553">
        <f>'Доходи заг'!D34</f>
        <v>6927.075</v>
      </c>
      <c r="D15" s="373">
        <f t="shared" si="1"/>
        <v>100</v>
      </c>
      <c r="E15" s="556">
        <f t="shared" si="2"/>
        <v>0</v>
      </c>
    </row>
    <row r="16" spans="1:5" s="507" customFormat="1" ht="38.25">
      <c r="A16" s="119" t="str">
        <f>'Доходи заг'!A35</f>
        <v>Субвенція з державного бюджету місцевим бюджетам на відшкодування вартості лікарських засобів для лікування окремих захворювань </v>
      </c>
      <c r="B16" s="553">
        <f>'Доходи заг'!C35</f>
        <v>6773.7</v>
      </c>
      <c r="C16" s="553">
        <f>'Доходи заг'!D35</f>
        <v>6773.7</v>
      </c>
      <c r="D16" s="373">
        <f>C16/B16*100</f>
        <v>100</v>
      </c>
      <c r="E16" s="556">
        <f t="shared" si="0"/>
        <v>0</v>
      </c>
    </row>
    <row r="17" spans="1:5" s="507" customFormat="1" ht="12.75" hidden="1">
      <c r="A17" s="120" t="s">
        <v>295</v>
      </c>
      <c r="B17" s="553"/>
      <c r="C17" s="553">
        <f>'Доходи заг'!D36</f>
        <v>0</v>
      </c>
      <c r="D17" s="373"/>
      <c r="E17" s="556">
        <f t="shared" si="0"/>
        <v>0</v>
      </c>
    </row>
    <row r="18" spans="1:5" s="507" customFormat="1" ht="12.75" hidden="1">
      <c r="A18" s="120" t="s">
        <v>296</v>
      </c>
      <c r="B18" s="553"/>
      <c r="C18" s="553">
        <f>'Доходи заг'!D37</f>
        <v>0</v>
      </c>
      <c r="D18" s="373"/>
      <c r="E18" s="556">
        <f t="shared" si="0"/>
        <v>0</v>
      </c>
    </row>
    <row r="19" spans="1:5" s="507" customFormat="1" ht="12.75">
      <c r="A19" s="511" t="str">
        <f>'Доходи заг'!A38</f>
        <v> - для обласного бюджету</v>
      </c>
      <c r="B19" s="553">
        <f>'Доходи заг'!C38</f>
        <v>38.2</v>
      </c>
      <c r="C19" s="553">
        <f>'Доходи заг'!D38</f>
        <v>38.2</v>
      </c>
      <c r="D19" s="373">
        <f>C19/B19*100</f>
        <v>100</v>
      </c>
      <c r="E19" s="556">
        <f t="shared" si="0"/>
        <v>0</v>
      </c>
    </row>
    <row r="20" spans="1:5" s="507" customFormat="1" ht="12.75" hidden="1">
      <c r="A20" s="120" t="s">
        <v>295</v>
      </c>
      <c r="B20" s="553"/>
      <c r="C20" s="553">
        <f>'Доходи заг'!D39</f>
        <v>0</v>
      </c>
      <c r="D20" s="373"/>
      <c r="E20" s="556">
        <f t="shared" si="0"/>
        <v>0</v>
      </c>
    </row>
    <row r="21" spans="1:5" s="507" customFormat="1" ht="12.75" hidden="1">
      <c r="A21" s="120" t="s">
        <v>296</v>
      </c>
      <c r="B21" s="553"/>
      <c r="C21" s="553">
        <f>'Доходи заг'!D40</f>
        <v>0</v>
      </c>
      <c r="D21" s="373"/>
      <c r="E21" s="556">
        <f t="shared" si="0"/>
        <v>0</v>
      </c>
    </row>
    <row r="22" spans="1:5" s="507" customFormat="1" ht="12.75">
      <c r="A22" s="511" t="str">
        <f>'Доходи заг'!A41</f>
        <v> - для місцевих бюджетів</v>
      </c>
      <c r="B22" s="553">
        <f>'Доходи заг'!C41</f>
        <v>6735.5</v>
      </c>
      <c r="C22" s="553">
        <f>'Доходи заг'!D41</f>
        <v>6735.5</v>
      </c>
      <c r="D22" s="373">
        <f>C22/B22*100</f>
        <v>100</v>
      </c>
      <c r="E22" s="556">
        <f t="shared" si="0"/>
        <v>0</v>
      </c>
    </row>
    <row r="23" spans="1:5" s="507" customFormat="1" ht="12.75" hidden="1">
      <c r="A23" s="120" t="s">
        <v>295</v>
      </c>
      <c r="B23" s="553"/>
      <c r="C23" s="553">
        <f>'Доходи заг'!D42</f>
        <v>0</v>
      </c>
      <c r="D23" s="373"/>
      <c r="E23" s="556">
        <f t="shared" si="0"/>
        <v>0</v>
      </c>
    </row>
    <row r="24" spans="1:5" s="507" customFormat="1" ht="12.75" hidden="1">
      <c r="A24" s="120" t="s">
        <v>296</v>
      </c>
      <c r="B24" s="553"/>
      <c r="C24" s="553">
        <f>'Доходи заг'!D43</f>
        <v>0</v>
      </c>
      <c r="D24" s="373"/>
      <c r="E24" s="556">
        <f t="shared" si="0"/>
        <v>0</v>
      </c>
    </row>
    <row r="25" spans="1:5" s="507" customFormat="1" ht="51">
      <c r="A25" s="143" t="str">
        <f>'Доходи заг'!A58</f>
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(обласний бюджет)</v>
      </c>
      <c r="B25" s="553">
        <f>'Доходи заг'!C58</f>
        <v>257.3</v>
      </c>
      <c r="C25" s="553">
        <f>'Доходи заг'!D58</f>
        <v>257.3</v>
      </c>
      <c r="D25" s="373">
        <f>C25/B25*100</f>
        <v>100</v>
      </c>
      <c r="E25" s="556">
        <f t="shared" si="0"/>
        <v>0</v>
      </c>
    </row>
    <row r="26" spans="1:5" s="507" customFormat="1" ht="12.75" hidden="1">
      <c r="A26" s="120" t="s">
        <v>295</v>
      </c>
      <c r="B26" s="553"/>
      <c r="C26" s="553">
        <f>'Доходи заг'!D59</f>
        <v>0</v>
      </c>
      <c r="D26" s="373"/>
      <c r="E26" s="556">
        <f t="shared" si="0"/>
        <v>0</v>
      </c>
    </row>
    <row r="27" spans="1:5" s="507" customFormat="1" ht="12.75" hidden="1">
      <c r="A27" s="120" t="s">
        <v>296</v>
      </c>
      <c r="B27" s="553"/>
      <c r="C27" s="553">
        <f>'Доходи заг'!D60</f>
        <v>0</v>
      </c>
      <c r="D27" s="373"/>
      <c r="E27" s="556">
        <f t="shared" si="0"/>
        <v>0</v>
      </c>
    </row>
    <row r="28" spans="1:5" s="507" customFormat="1" ht="12.75" hidden="1">
      <c r="A28" s="119" t="s">
        <v>38</v>
      </c>
      <c r="B28" s="553">
        <f>'Доходи заг'!C61</f>
        <v>0</v>
      </c>
      <c r="C28" s="553">
        <f>'Доходи заг'!D61</f>
        <v>0</v>
      </c>
      <c r="D28" s="373" t="e">
        <f>C28/B28*100</f>
        <v>#DIV/0!</v>
      </c>
      <c r="E28" s="556">
        <f t="shared" si="0"/>
        <v>0</v>
      </c>
    </row>
    <row r="29" spans="1:5" s="507" customFormat="1" ht="12.75" hidden="1">
      <c r="A29" s="120" t="s">
        <v>295</v>
      </c>
      <c r="B29" s="553"/>
      <c r="C29" s="553">
        <f>'Доходи заг'!D62</f>
        <v>0</v>
      </c>
      <c r="D29" s="373"/>
      <c r="E29" s="556">
        <f t="shared" si="0"/>
        <v>0</v>
      </c>
    </row>
    <row r="30" spans="1:5" s="507" customFormat="1" ht="12.75" hidden="1">
      <c r="A30" s="120" t="s">
        <v>296</v>
      </c>
      <c r="B30" s="553"/>
      <c r="C30" s="553">
        <f>'Доходи заг'!D63</f>
        <v>0</v>
      </c>
      <c r="D30" s="373"/>
      <c r="E30" s="556">
        <f t="shared" si="0"/>
        <v>0</v>
      </c>
    </row>
    <row r="31" spans="1:5" s="507" customFormat="1" ht="12.75" hidden="1">
      <c r="A31" s="119" t="s">
        <v>39</v>
      </c>
      <c r="B31" s="553">
        <f>'Доходи заг'!C64</f>
        <v>0</v>
      </c>
      <c r="C31" s="553">
        <f>'Доходи заг'!D64</f>
        <v>0</v>
      </c>
      <c r="D31" s="373" t="e">
        <f>C31/B31*100</f>
        <v>#DIV/0!</v>
      </c>
      <c r="E31" s="556">
        <f t="shared" si="0"/>
        <v>0</v>
      </c>
    </row>
    <row r="32" spans="1:5" s="507" customFormat="1" ht="12.75" hidden="1">
      <c r="A32" s="120" t="s">
        <v>295</v>
      </c>
      <c r="B32" s="553"/>
      <c r="C32" s="553">
        <f>'Доходи заг'!D65</f>
        <v>0</v>
      </c>
      <c r="D32" s="373"/>
      <c r="E32" s="556">
        <f t="shared" si="0"/>
        <v>0</v>
      </c>
    </row>
    <row r="33" spans="1:5" s="507" customFormat="1" ht="12.75" hidden="1">
      <c r="A33" s="120" t="s">
        <v>296</v>
      </c>
      <c r="B33" s="553"/>
      <c r="C33" s="553">
        <f>'Доходи заг'!D66</f>
        <v>0</v>
      </c>
      <c r="D33" s="373"/>
      <c r="E33" s="556">
        <f t="shared" si="0"/>
        <v>0</v>
      </c>
    </row>
    <row r="34" spans="1:6" s="507" customFormat="1" ht="51">
      <c r="A34" s="119" t="str">
        <f>'Доходи заг'!A67</f>
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 (обласний бюджет)</v>
      </c>
      <c r="B34" s="553">
        <f>'Доходи заг'!C67</f>
        <v>1869.3</v>
      </c>
      <c r="C34" s="553">
        <f>'Доходи заг'!D67</f>
        <v>1869.3</v>
      </c>
      <c r="D34" s="373">
        <f>C34/B34*100</f>
        <v>100</v>
      </c>
      <c r="E34" s="556">
        <f t="shared" si="0"/>
        <v>0</v>
      </c>
      <c r="F34" s="512"/>
    </row>
    <row r="35" spans="1:5" s="507" customFormat="1" ht="63.75">
      <c r="A35" s="513" t="s">
        <v>348</v>
      </c>
      <c r="B35" s="553">
        <f>'Доходи заг'!C68</f>
        <v>14.7</v>
      </c>
      <c r="C35" s="553">
        <f>'Доходи заг'!D68</f>
        <v>14.7</v>
      </c>
      <c r="D35" s="373">
        <f>C35/B35*100</f>
        <v>100</v>
      </c>
      <c r="E35" s="556">
        <f t="shared" si="0"/>
        <v>0</v>
      </c>
    </row>
    <row r="36" spans="1:5" s="507" customFormat="1" ht="12.75" hidden="1">
      <c r="A36" s="120" t="s">
        <v>295</v>
      </c>
      <c r="B36" s="553"/>
      <c r="C36" s="553">
        <f>'Доходи заг'!D69</f>
        <v>0</v>
      </c>
      <c r="D36" s="373"/>
      <c r="E36" s="556">
        <f t="shared" si="0"/>
        <v>0</v>
      </c>
    </row>
    <row r="37" spans="1:5" s="507" customFormat="1" ht="12.75" hidden="1">
      <c r="A37" s="120" t="s">
        <v>296</v>
      </c>
      <c r="B37" s="558"/>
      <c r="C37" s="553">
        <f>'Доходи заг'!D70</f>
        <v>0</v>
      </c>
      <c r="D37" s="373"/>
      <c r="E37" s="556">
        <f t="shared" si="0"/>
        <v>0</v>
      </c>
    </row>
    <row r="38" spans="1:5" s="507" customFormat="1" ht="25.5">
      <c r="A38" s="126" t="s">
        <v>223</v>
      </c>
      <c r="B38" s="553">
        <f>'Доходи заг'!C45</f>
        <v>1240239.3</v>
      </c>
      <c r="C38" s="553">
        <f>'Доходи заг'!D45</f>
        <v>1155708.2496</v>
      </c>
      <c r="D38" s="373">
        <f>C38/B38*100</f>
        <v>93.18429512756127</v>
      </c>
      <c r="E38" s="556">
        <f t="shared" si="0"/>
        <v>-84531.05040000007</v>
      </c>
    </row>
    <row r="39" spans="1:5" s="507" customFormat="1" ht="12.75" hidden="1">
      <c r="A39" s="120" t="s">
        <v>295</v>
      </c>
      <c r="B39" s="553"/>
      <c r="C39" s="553">
        <f>'Доходи заг'!D46</f>
        <v>0</v>
      </c>
      <c r="D39" s="373"/>
      <c r="E39" s="556">
        <f t="shared" si="0"/>
        <v>0</v>
      </c>
    </row>
    <row r="40" spans="1:5" s="507" customFormat="1" ht="12.75" hidden="1">
      <c r="A40" s="120" t="s">
        <v>296</v>
      </c>
      <c r="B40" s="553"/>
      <c r="C40" s="553">
        <f>'Доходи заг'!D47</f>
        <v>0</v>
      </c>
      <c r="D40" s="373"/>
      <c r="E40" s="556">
        <f t="shared" si="0"/>
        <v>0</v>
      </c>
    </row>
    <row r="41" spans="1:5" s="507" customFormat="1" ht="25.5">
      <c r="A41" s="126" t="s">
        <v>208</v>
      </c>
      <c r="B41" s="553">
        <f>'Доходи заг'!C49</f>
        <v>109966.8</v>
      </c>
      <c r="C41" s="553">
        <f>'Доходи заг'!D49</f>
        <v>109966.8</v>
      </c>
      <c r="D41" s="373">
        <f>C41/B41*100</f>
        <v>100</v>
      </c>
      <c r="E41" s="554">
        <f>C41-B41</f>
        <v>0</v>
      </c>
    </row>
    <row r="42" spans="1:5" s="507" customFormat="1" ht="12.75" hidden="1">
      <c r="A42" s="126" t="s">
        <v>38</v>
      </c>
      <c r="B42" s="553">
        <f>'Доходи заг'!C50</f>
        <v>0</v>
      </c>
      <c r="C42" s="553">
        <f>'Доходи заг'!D50</f>
        <v>0</v>
      </c>
      <c r="D42" s="373" t="e">
        <f aca="true" t="shared" si="3" ref="D42:D97">C42/B42*100</f>
        <v>#DIV/0!</v>
      </c>
      <c r="E42" s="554">
        <f aca="true" t="shared" si="4" ref="E42:E97">C42-B42</f>
        <v>0</v>
      </c>
    </row>
    <row r="43" spans="1:5" s="507" customFormat="1" ht="12.75" hidden="1">
      <c r="A43" s="516" t="s">
        <v>39</v>
      </c>
      <c r="B43" s="557">
        <f>'Доходи заг'!C51</f>
        <v>0</v>
      </c>
      <c r="C43" s="557">
        <f>'Доходи заг'!D51</f>
        <v>0</v>
      </c>
      <c r="D43" s="373" t="e">
        <f t="shared" si="3"/>
        <v>#DIV/0!</v>
      </c>
      <c r="E43" s="554">
        <f t="shared" si="4"/>
        <v>0</v>
      </c>
    </row>
    <row r="44" spans="1:5" s="507" customFormat="1" ht="25.5">
      <c r="A44" s="128" t="s">
        <v>192</v>
      </c>
      <c r="B44" s="553">
        <f>'Доходи заг'!C52</f>
        <v>381258.1</v>
      </c>
      <c r="C44" s="553">
        <f>'Доходи заг'!D52</f>
        <v>381258.1</v>
      </c>
      <c r="D44" s="373">
        <f t="shared" si="3"/>
        <v>100</v>
      </c>
      <c r="E44" s="554">
        <f t="shared" si="4"/>
        <v>0</v>
      </c>
    </row>
    <row r="45" spans="1:5" s="507" customFormat="1" ht="12.75" hidden="1">
      <c r="A45" s="119" t="s">
        <v>38</v>
      </c>
      <c r="B45" s="559">
        <f>'Доходи заг'!C53</f>
        <v>0</v>
      </c>
      <c r="C45" s="559">
        <f>'Доходи заг'!D53</f>
        <v>0</v>
      </c>
      <c r="D45" s="373" t="e">
        <f t="shared" si="3"/>
        <v>#DIV/0!</v>
      </c>
      <c r="E45" s="554">
        <f t="shared" si="4"/>
        <v>0</v>
      </c>
    </row>
    <row r="46" spans="1:5" s="507" customFormat="1" ht="12.75" hidden="1">
      <c r="A46" s="119" t="s">
        <v>39</v>
      </c>
      <c r="B46" s="559">
        <f>'Доходи заг'!C54</f>
        <v>0</v>
      </c>
      <c r="C46" s="559">
        <f>'Доходи заг'!D54</f>
        <v>0</v>
      </c>
      <c r="D46" s="373" t="e">
        <f t="shared" si="3"/>
        <v>#DIV/0!</v>
      </c>
      <c r="E46" s="554">
        <f t="shared" si="4"/>
        <v>0</v>
      </c>
    </row>
    <row r="47" spans="1:5" s="507" customFormat="1" ht="38.25">
      <c r="A47" s="128" t="s">
        <v>260</v>
      </c>
      <c r="B47" s="553">
        <f>'Доходи заг'!C55</f>
        <v>11538.5</v>
      </c>
      <c r="C47" s="553">
        <f>'Доходи заг'!D55</f>
        <v>11538.5</v>
      </c>
      <c r="D47" s="373">
        <f t="shared" si="3"/>
        <v>100</v>
      </c>
      <c r="E47" s="554">
        <f t="shared" si="4"/>
        <v>0</v>
      </c>
    </row>
    <row r="48" spans="1:5" s="507" customFormat="1" ht="12.75" hidden="1">
      <c r="A48" s="120" t="s">
        <v>295</v>
      </c>
      <c r="B48" s="553"/>
      <c r="C48" s="553">
        <f>'Доходи заг'!D56</f>
        <v>0</v>
      </c>
      <c r="D48" s="373"/>
      <c r="E48" s="554">
        <f t="shared" si="4"/>
        <v>0</v>
      </c>
    </row>
    <row r="49" spans="1:5" s="507" customFormat="1" ht="12.75" hidden="1">
      <c r="A49" s="120" t="s">
        <v>296</v>
      </c>
      <c r="B49" s="553"/>
      <c r="C49" s="553">
        <f>'Доходи заг'!D57</f>
        <v>0</v>
      </c>
      <c r="D49" s="373"/>
      <c r="E49" s="554">
        <f t="shared" si="4"/>
        <v>0</v>
      </c>
    </row>
    <row r="50" spans="1:8" s="507" customFormat="1" ht="127.5">
      <c r="A50" s="143" t="s">
        <v>233</v>
      </c>
      <c r="B50" s="553">
        <f>'Доходи заг'!C71</f>
        <v>23575.6</v>
      </c>
      <c r="C50" s="553">
        <f>'Доходи заг'!D71</f>
        <v>22337.7</v>
      </c>
      <c r="D50" s="373">
        <f t="shared" si="3"/>
        <v>94.74923225707937</v>
      </c>
      <c r="E50" s="554">
        <f t="shared" si="4"/>
        <v>-1237.8999999999978</v>
      </c>
      <c r="H50" s="512"/>
    </row>
    <row r="51" spans="1:8" s="507" customFormat="1" ht="12.75" hidden="1">
      <c r="A51" s="120" t="s">
        <v>295</v>
      </c>
      <c r="B51" s="553"/>
      <c r="C51" s="553">
        <f>'Доходи заг'!D72</f>
        <v>0</v>
      </c>
      <c r="D51" s="373"/>
      <c r="E51" s="554">
        <f t="shared" si="4"/>
        <v>0</v>
      </c>
      <c r="H51" s="512"/>
    </row>
    <row r="52" spans="1:8" s="507" customFormat="1" ht="12.75" hidden="1">
      <c r="A52" s="120" t="s">
        <v>296</v>
      </c>
      <c r="B52" s="553"/>
      <c r="C52" s="553">
        <f>'Доходи заг'!D73</f>
        <v>0</v>
      </c>
      <c r="D52" s="373"/>
      <c r="E52" s="554">
        <f t="shared" si="4"/>
        <v>0</v>
      </c>
      <c r="H52" s="512"/>
    </row>
    <row r="53" spans="1:5" s="507" customFormat="1" ht="38.25">
      <c r="A53" s="145" t="s">
        <v>240</v>
      </c>
      <c r="B53" s="553">
        <f>'Доходи заг'!C77</f>
        <v>10726.9</v>
      </c>
      <c r="C53" s="553">
        <f>'Доходи заг'!D77</f>
        <v>10726.9</v>
      </c>
      <c r="D53" s="373">
        <f t="shared" si="3"/>
        <v>100</v>
      </c>
      <c r="E53" s="554">
        <f t="shared" si="4"/>
        <v>0</v>
      </c>
    </row>
    <row r="54" spans="1:5" s="507" customFormat="1" ht="12.75">
      <c r="A54" s="118" t="s">
        <v>38</v>
      </c>
      <c r="B54" s="553">
        <f>'Доходи заг'!C78</f>
        <v>598.033</v>
      </c>
      <c r="C54" s="553">
        <f>'Доходи заг'!D78</f>
        <v>598.033</v>
      </c>
      <c r="D54" s="373">
        <f t="shared" si="3"/>
        <v>100</v>
      </c>
      <c r="E54" s="554">
        <f>C54-B54</f>
        <v>0</v>
      </c>
    </row>
    <row r="55" spans="1:5" s="507" customFormat="1" ht="12.75">
      <c r="A55" s="118" t="s">
        <v>39</v>
      </c>
      <c r="B55" s="553">
        <f>'Доходи заг'!C79</f>
        <v>10128.867</v>
      </c>
      <c r="C55" s="553">
        <f>'Доходи заг'!D79</f>
        <v>10128.867</v>
      </c>
      <c r="D55" s="373">
        <f t="shared" si="3"/>
        <v>100</v>
      </c>
      <c r="E55" s="554">
        <f>C55-B55</f>
        <v>0</v>
      </c>
    </row>
    <row r="56" spans="1:5" s="507" customFormat="1" ht="38.25">
      <c r="A56" s="143" t="s">
        <v>253</v>
      </c>
      <c r="B56" s="553">
        <f>'Доходи заг'!C74</f>
        <v>16406.600000000002</v>
      </c>
      <c r="C56" s="553">
        <f>'Доходи заг'!D74</f>
        <v>16406.600000000002</v>
      </c>
      <c r="D56" s="373">
        <f>C56/B56*100</f>
        <v>100</v>
      </c>
      <c r="E56" s="554">
        <f>C56-B56</f>
        <v>0</v>
      </c>
    </row>
    <row r="57" spans="1:5" s="507" customFormat="1" ht="12.75" hidden="1">
      <c r="A57" s="120" t="s">
        <v>295</v>
      </c>
      <c r="B57" s="553"/>
      <c r="C57" s="553">
        <f>'Доходи заг'!D81</f>
        <v>0</v>
      </c>
      <c r="D57" s="373"/>
      <c r="E57" s="554">
        <f t="shared" si="4"/>
        <v>0</v>
      </c>
    </row>
    <row r="58" spans="1:5" s="507" customFormat="1" ht="12.75" hidden="1">
      <c r="A58" s="120" t="s">
        <v>296</v>
      </c>
      <c r="B58" s="553"/>
      <c r="C58" s="553">
        <f>'Доходи заг'!D82</f>
        <v>0</v>
      </c>
      <c r="D58" s="373"/>
      <c r="E58" s="554">
        <f t="shared" si="4"/>
        <v>0</v>
      </c>
    </row>
    <row r="59" spans="1:5" s="507" customFormat="1" ht="12.75">
      <c r="A59" s="511" t="s">
        <v>38</v>
      </c>
      <c r="B59" s="553">
        <f>'Доходи заг'!C75</f>
        <v>2890.9</v>
      </c>
      <c r="C59" s="553">
        <f>'Доходи заг'!D75</f>
        <v>2890.9</v>
      </c>
      <c r="D59" s="373">
        <f t="shared" si="3"/>
        <v>100</v>
      </c>
      <c r="E59" s="554">
        <f t="shared" si="4"/>
        <v>0</v>
      </c>
    </row>
    <row r="60" spans="1:5" s="507" customFormat="1" ht="12.75" hidden="1">
      <c r="A60" s="120" t="s">
        <v>295</v>
      </c>
      <c r="B60" s="553"/>
      <c r="C60" s="553">
        <f>'Доходи заг'!D84</f>
        <v>0</v>
      </c>
      <c r="D60" s="373"/>
      <c r="E60" s="554">
        <f t="shared" si="4"/>
        <v>0</v>
      </c>
    </row>
    <row r="61" spans="1:5" s="507" customFormat="1" ht="12.75" hidden="1">
      <c r="A61" s="120" t="s">
        <v>296</v>
      </c>
      <c r="B61" s="553"/>
      <c r="C61" s="553">
        <f>'Доходи заг'!D85</f>
        <v>0</v>
      </c>
      <c r="D61" s="373"/>
      <c r="E61" s="554">
        <f t="shared" si="4"/>
        <v>0</v>
      </c>
    </row>
    <row r="62" spans="1:5" s="507" customFormat="1" ht="12.75">
      <c r="A62" s="511" t="s">
        <v>39</v>
      </c>
      <c r="B62" s="553">
        <f>'Доходи заг'!C76</f>
        <v>13515.7</v>
      </c>
      <c r="C62" s="553">
        <f>'Доходи заг'!D76</f>
        <v>13515.7</v>
      </c>
      <c r="D62" s="373">
        <f t="shared" si="3"/>
        <v>100</v>
      </c>
      <c r="E62" s="554">
        <f t="shared" si="4"/>
        <v>0</v>
      </c>
    </row>
    <row r="63" spans="1:5" s="507" customFormat="1" ht="12.75" hidden="1">
      <c r="A63" s="120" t="s">
        <v>295</v>
      </c>
      <c r="B63" s="553"/>
      <c r="C63" s="553">
        <f>'Доходи заг'!D87</f>
        <v>0</v>
      </c>
      <c r="D63" s="373"/>
      <c r="E63" s="554">
        <f t="shared" si="4"/>
        <v>0</v>
      </c>
    </row>
    <row r="64" spans="1:5" s="507" customFormat="1" ht="12.75" hidden="1">
      <c r="A64" s="120" t="s">
        <v>296</v>
      </c>
      <c r="B64" s="553"/>
      <c r="C64" s="553">
        <f>'Доходи заг'!D88</f>
        <v>0</v>
      </c>
      <c r="D64" s="373"/>
      <c r="E64" s="554">
        <f t="shared" si="4"/>
        <v>0</v>
      </c>
    </row>
    <row r="65" spans="1:5" s="507" customFormat="1" ht="51">
      <c r="A65" s="145" t="s">
        <v>259</v>
      </c>
      <c r="B65" s="553">
        <f>'Доходи заг'!C89</f>
        <v>448</v>
      </c>
      <c r="C65" s="553">
        <f>'Доходи заг'!D89</f>
        <v>448</v>
      </c>
      <c r="D65" s="373">
        <f t="shared" si="3"/>
        <v>100</v>
      </c>
      <c r="E65" s="554">
        <f t="shared" si="4"/>
        <v>0</v>
      </c>
    </row>
    <row r="66" spans="1:5" s="507" customFormat="1" ht="63.75">
      <c r="A66" s="119" t="s">
        <v>241</v>
      </c>
      <c r="B66" s="553">
        <f>'Доходи заг'!C90</f>
        <v>7438.961</v>
      </c>
      <c r="C66" s="553">
        <f>'Доходи заг'!D90</f>
        <v>0</v>
      </c>
      <c r="D66" s="373">
        <f t="shared" si="3"/>
        <v>0</v>
      </c>
      <c r="E66" s="554">
        <f t="shared" si="4"/>
        <v>-7438.961</v>
      </c>
    </row>
    <row r="67" spans="1:5" s="507" customFormat="1" ht="12.75" hidden="1">
      <c r="A67" s="120" t="s">
        <v>295</v>
      </c>
      <c r="B67" s="553"/>
      <c r="C67" s="553">
        <f>'Доходи заг'!D91</f>
        <v>0</v>
      </c>
      <c r="D67" s="373"/>
      <c r="E67" s="554">
        <f t="shared" si="4"/>
        <v>0</v>
      </c>
    </row>
    <row r="68" spans="1:5" s="507" customFormat="1" ht="12.75" hidden="1">
      <c r="A68" s="120" t="s">
        <v>296</v>
      </c>
      <c r="B68" s="553"/>
      <c r="C68" s="553">
        <f>'Доходи заг'!D92</f>
        <v>0</v>
      </c>
      <c r="D68" s="373"/>
      <c r="E68" s="554">
        <f t="shared" si="4"/>
        <v>0</v>
      </c>
    </row>
    <row r="69" spans="1:5" s="507" customFormat="1" ht="171" customHeight="1" hidden="1">
      <c r="A69" s="119" t="s">
        <v>256</v>
      </c>
      <c r="B69" s="553">
        <f>'Доходи заг'!C93</f>
        <v>0</v>
      </c>
      <c r="C69" s="553">
        <f>'Доходи заг'!D93</f>
        <v>0</v>
      </c>
      <c r="D69" s="373" t="e">
        <f t="shared" si="3"/>
        <v>#DIV/0!</v>
      </c>
      <c r="E69" s="554">
        <f t="shared" si="4"/>
        <v>0</v>
      </c>
    </row>
    <row r="70" spans="1:5" s="507" customFormat="1" ht="12.75" hidden="1">
      <c r="A70" s="120" t="s">
        <v>295</v>
      </c>
      <c r="B70" s="553"/>
      <c r="C70" s="553">
        <f>'Доходи заг'!D94</f>
        <v>0</v>
      </c>
      <c r="D70" s="373"/>
      <c r="E70" s="554">
        <f t="shared" si="4"/>
        <v>0</v>
      </c>
    </row>
    <row r="71" spans="1:5" s="507" customFormat="1" ht="12.75" hidden="1">
      <c r="A71" s="120" t="s">
        <v>296</v>
      </c>
      <c r="B71" s="553"/>
      <c r="C71" s="553">
        <f>'Доходи заг'!D95</f>
        <v>0</v>
      </c>
      <c r="D71" s="373"/>
      <c r="E71" s="554">
        <f t="shared" si="4"/>
        <v>0</v>
      </c>
    </row>
    <row r="72" spans="1:5" s="507" customFormat="1" ht="184.5" customHeight="1" hidden="1">
      <c r="A72" s="119" t="s">
        <v>270</v>
      </c>
      <c r="B72" s="553">
        <f>'Доходи заг'!C96</f>
        <v>0</v>
      </c>
      <c r="C72" s="553">
        <f>'Доходи заг'!D96</f>
        <v>0</v>
      </c>
      <c r="D72" s="373" t="e">
        <f>C72/B72*100</f>
        <v>#DIV/0!</v>
      </c>
      <c r="E72" s="554">
        <f>C72-B72</f>
        <v>0</v>
      </c>
    </row>
    <row r="73" spans="1:5" s="507" customFormat="1" ht="38.25" hidden="1">
      <c r="A73" s="128" t="s">
        <v>254</v>
      </c>
      <c r="B73" s="553">
        <f>'Доходи заг'!C97</f>
        <v>0</v>
      </c>
      <c r="C73" s="553">
        <f>'Доходи заг'!D97</f>
        <v>0</v>
      </c>
      <c r="D73" s="373" t="e">
        <f t="shared" si="3"/>
        <v>#DIV/0!</v>
      </c>
      <c r="E73" s="554">
        <f t="shared" si="4"/>
        <v>0</v>
      </c>
    </row>
    <row r="74" spans="1:5" s="507" customFormat="1" ht="38.25">
      <c r="A74" s="143" t="s">
        <v>203</v>
      </c>
      <c r="B74" s="553">
        <f>'Доходи заг'!C101</f>
        <v>37288</v>
      </c>
      <c r="C74" s="553">
        <f>'Доходи заг'!D101</f>
        <v>37288</v>
      </c>
      <c r="D74" s="373">
        <f t="shared" si="3"/>
        <v>100</v>
      </c>
      <c r="E74" s="554">
        <f t="shared" si="4"/>
        <v>0</v>
      </c>
    </row>
    <row r="75" spans="1:5" s="507" customFormat="1" ht="12.75">
      <c r="A75" s="511" t="s">
        <v>38</v>
      </c>
      <c r="B75" s="553">
        <f>'Доходи заг'!C102</f>
        <v>35727</v>
      </c>
      <c r="C75" s="553">
        <f>'Доходи заг'!D102</f>
        <v>35727</v>
      </c>
      <c r="D75" s="373">
        <f>C75/B75*100</f>
        <v>100</v>
      </c>
      <c r="E75" s="554">
        <f>C75-B75</f>
        <v>0</v>
      </c>
    </row>
    <row r="76" spans="1:5" s="507" customFormat="1" ht="12.75">
      <c r="A76" s="511" t="s">
        <v>39</v>
      </c>
      <c r="B76" s="553">
        <f>'Доходи заг'!C103</f>
        <v>1561</v>
      </c>
      <c r="C76" s="553">
        <f>'Доходи заг'!D103</f>
        <v>1561</v>
      </c>
      <c r="D76" s="373">
        <f>C76/B76*100</f>
        <v>100</v>
      </c>
      <c r="E76" s="554">
        <f>C76-B76</f>
        <v>0</v>
      </c>
    </row>
    <row r="77" spans="1:5" s="507" customFormat="1" ht="38.25">
      <c r="A77" s="143" t="s">
        <v>103</v>
      </c>
      <c r="B77" s="553">
        <f>'Доходи заг'!C44</f>
        <v>528.66</v>
      </c>
      <c r="C77" s="553">
        <f>'Доходи заг'!D44</f>
        <v>528.66</v>
      </c>
      <c r="D77" s="373">
        <f>C77/B77*100</f>
        <v>100</v>
      </c>
      <c r="E77" s="554">
        <f>C77-B77</f>
        <v>0</v>
      </c>
    </row>
    <row r="78" spans="1:5" s="507" customFormat="1" ht="63.75">
      <c r="A78" s="143" t="s">
        <v>269</v>
      </c>
      <c r="B78" s="553">
        <f>'Доходи заг'!C108</f>
        <v>7559.09522</v>
      </c>
      <c r="C78" s="553">
        <f>'Доходи заг'!D108</f>
        <v>231.64</v>
      </c>
      <c r="D78" s="373">
        <f t="shared" si="3"/>
        <v>3.064387909641916</v>
      </c>
      <c r="E78" s="554">
        <f t="shared" si="4"/>
        <v>-7327.45522</v>
      </c>
    </row>
    <row r="79" spans="1:5" s="507" customFormat="1" ht="12.75" hidden="1">
      <c r="A79" s="119"/>
      <c r="B79" s="553"/>
      <c r="C79" s="553"/>
      <c r="D79" s="373" t="e">
        <f t="shared" si="3"/>
        <v>#DIV/0!</v>
      </c>
      <c r="E79" s="554">
        <f t="shared" si="4"/>
        <v>0</v>
      </c>
    </row>
    <row r="80" spans="1:5" s="507" customFormat="1" ht="12.75" hidden="1">
      <c r="A80" s="119"/>
      <c r="B80" s="553"/>
      <c r="C80" s="553"/>
      <c r="D80" s="373" t="e">
        <f t="shared" si="3"/>
        <v>#DIV/0!</v>
      </c>
      <c r="E80" s="554">
        <f t="shared" si="4"/>
        <v>0</v>
      </c>
    </row>
    <row r="81" spans="1:5" s="507" customFormat="1" ht="12.75" hidden="1">
      <c r="A81" s="143"/>
      <c r="B81" s="553"/>
      <c r="C81" s="553"/>
      <c r="D81" s="373" t="e">
        <f t="shared" si="3"/>
        <v>#DIV/0!</v>
      </c>
      <c r="E81" s="554">
        <f t="shared" si="4"/>
        <v>0</v>
      </c>
    </row>
    <row r="82" spans="1:5" s="507" customFormat="1" ht="12.75" hidden="1">
      <c r="A82" s="119" t="s">
        <v>38</v>
      </c>
      <c r="B82" s="553"/>
      <c r="C82" s="553"/>
      <c r="D82" s="373" t="e">
        <f t="shared" si="3"/>
        <v>#DIV/0!</v>
      </c>
      <c r="E82" s="554">
        <f t="shared" si="4"/>
        <v>0</v>
      </c>
    </row>
    <row r="83" spans="1:5" s="507" customFormat="1" ht="12.75" hidden="1">
      <c r="A83" s="119" t="s">
        <v>39</v>
      </c>
      <c r="B83" s="553"/>
      <c r="C83" s="553"/>
      <c r="D83" s="373" t="e">
        <f t="shared" si="3"/>
        <v>#DIV/0!</v>
      </c>
      <c r="E83" s="554">
        <f t="shared" si="4"/>
        <v>0</v>
      </c>
    </row>
    <row r="84" spans="1:5" s="507" customFormat="1" ht="12.75" hidden="1">
      <c r="A84" s="516" t="s">
        <v>69</v>
      </c>
      <c r="B84" s="553"/>
      <c r="C84" s="553"/>
      <c r="D84" s="373" t="e">
        <f t="shared" si="3"/>
        <v>#DIV/0!</v>
      </c>
      <c r="E84" s="554">
        <f t="shared" si="4"/>
        <v>0</v>
      </c>
    </row>
    <row r="85" spans="1:5" s="507" customFormat="1" ht="51" hidden="1">
      <c r="A85" s="128" t="s">
        <v>70</v>
      </c>
      <c r="B85" s="559"/>
      <c r="C85" s="559"/>
      <c r="D85" s="373" t="e">
        <f t="shared" si="3"/>
        <v>#DIV/0!</v>
      </c>
      <c r="E85" s="554">
        <f t="shared" si="4"/>
        <v>0</v>
      </c>
    </row>
    <row r="86" spans="1:5" s="507" customFormat="1" ht="38.25" hidden="1">
      <c r="A86" s="128" t="s">
        <v>71</v>
      </c>
      <c r="B86" s="559"/>
      <c r="C86" s="559"/>
      <c r="D86" s="373" t="e">
        <f t="shared" si="3"/>
        <v>#DIV/0!</v>
      </c>
      <c r="E86" s="554">
        <f t="shared" si="4"/>
        <v>0</v>
      </c>
    </row>
    <row r="87" spans="1:5" s="507" customFormat="1" ht="12.75" hidden="1">
      <c r="A87" s="119" t="s">
        <v>38</v>
      </c>
      <c r="B87" s="559"/>
      <c r="C87" s="559"/>
      <c r="D87" s="373" t="e">
        <f t="shared" si="3"/>
        <v>#DIV/0!</v>
      </c>
      <c r="E87" s="554">
        <f t="shared" si="4"/>
        <v>0</v>
      </c>
    </row>
    <row r="88" spans="1:5" s="507" customFormat="1" ht="12.75" hidden="1">
      <c r="A88" s="119" t="s">
        <v>39</v>
      </c>
      <c r="B88" s="559"/>
      <c r="C88" s="559"/>
      <c r="D88" s="373" t="e">
        <f t="shared" si="3"/>
        <v>#DIV/0!</v>
      </c>
      <c r="E88" s="554">
        <f t="shared" si="4"/>
        <v>0</v>
      </c>
    </row>
    <row r="89" spans="1:5" s="507" customFormat="1" ht="114.75" hidden="1">
      <c r="A89" s="128" t="s">
        <v>121</v>
      </c>
      <c r="B89" s="559"/>
      <c r="C89" s="559"/>
      <c r="D89" s="373" t="e">
        <f t="shared" si="3"/>
        <v>#DIV/0!</v>
      </c>
      <c r="E89" s="554">
        <f t="shared" si="4"/>
        <v>0</v>
      </c>
    </row>
    <row r="90" spans="1:5" s="507" customFormat="1" ht="38.25" hidden="1">
      <c r="A90" s="516" t="s">
        <v>103</v>
      </c>
      <c r="B90" s="553">
        <f>'Доходи заг'!C98</f>
        <v>0</v>
      </c>
      <c r="C90" s="553">
        <f>'Доходи заг'!D98</f>
        <v>0</v>
      </c>
      <c r="D90" s="373" t="e">
        <f t="shared" si="3"/>
        <v>#DIV/0!</v>
      </c>
      <c r="E90" s="554">
        <f t="shared" si="4"/>
        <v>0</v>
      </c>
    </row>
    <row r="91" spans="1:5" s="507" customFormat="1" ht="12.75" hidden="1">
      <c r="A91" s="120" t="s">
        <v>295</v>
      </c>
      <c r="B91" s="553"/>
      <c r="C91" s="553">
        <f>'Доходи заг'!D99</f>
        <v>0</v>
      </c>
      <c r="D91" s="373"/>
      <c r="E91" s="554">
        <f t="shared" si="4"/>
        <v>0</v>
      </c>
    </row>
    <row r="92" spans="1:5" s="507" customFormat="1" ht="12.75" hidden="1">
      <c r="A92" s="120" t="s">
        <v>296</v>
      </c>
      <c r="B92" s="553"/>
      <c r="C92" s="553">
        <f>'Доходи заг'!D100</f>
        <v>0</v>
      </c>
      <c r="D92" s="373"/>
      <c r="E92" s="554">
        <f t="shared" si="4"/>
        <v>0</v>
      </c>
    </row>
    <row r="93" spans="1:5" s="507" customFormat="1" ht="38.25">
      <c r="A93" s="119" t="s">
        <v>255</v>
      </c>
      <c r="B93" s="553">
        <f>'Доходи заг'!C105</f>
        <v>1200</v>
      </c>
      <c r="C93" s="553">
        <f>'Доходи заг'!D105</f>
        <v>0</v>
      </c>
      <c r="D93" s="373">
        <f t="shared" si="3"/>
        <v>0</v>
      </c>
      <c r="E93" s="554">
        <f t="shared" si="4"/>
        <v>-1200</v>
      </c>
    </row>
    <row r="94" spans="1:5" s="507" customFormat="1" ht="63.75" hidden="1">
      <c r="A94" s="143" t="s">
        <v>257</v>
      </c>
      <c r="B94" s="553">
        <f>'Доходи заг'!C106</f>
        <v>0</v>
      </c>
      <c r="C94" s="553">
        <f>'Доходи заг'!D106</f>
        <v>0</v>
      </c>
      <c r="D94" s="373" t="e">
        <f t="shared" si="3"/>
        <v>#DIV/0!</v>
      </c>
      <c r="E94" s="554">
        <f t="shared" si="4"/>
        <v>0</v>
      </c>
    </row>
    <row r="95" spans="1:5" s="507" customFormat="1" ht="25.5">
      <c r="A95" s="513" t="s">
        <v>284</v>
      </c>
      <c r="B95" s="374">
        <f>'Доходи заг'!C107</f>
        <v>1377.167</v>
      </c>
      <c r="C95" s="374">
        <f>'Доходи заг'!D107</f>
        <v>0</v>
      </c>
      <c r="D95" s="373">
        <f t="shared" si="3"/>
        <v>0</v>
      </c>
      <c r="E95" s="554">
        <f t="shared" si="4"/>
        <v>-1377.167</v>
      </c>
    </row>
    <row r="96" spans="1:5" s="507" customFormat="1" ht="12.75" hidden="1">
      <c r="A96" s="119"/>
      <c r="B96" s="374" t="s">
        <v>10</v>
      </c>
      <c r="C96" s="374"/>
      <c r="D96" s="373" t="e">
        <f t="shared" si="3"/>
        <v>#VALUE!</v>
      </c>
      <c r="E96" s="554" t="e">
        <f t="shared" si="4"/>
        <v>#VALUE!</v>
      </c>
    </row>
    <row r="97" spans="1:5" s="507" customFormat="1" ht="38.25" hidden="1">
      <c r="A97" s="119" t="s">
        <v>240</v>
      </c>
      <c r="B97" s="374"/>
      <c r="C97" s="374"/>
      <c r="D97" s="373" t="e">
        <f t="shared" si="3"/>
        <v>#DIV/0!</v>
      </c>
      <c r="E97" s="554">
        <f t="shared" si="4"/>
        <v>0</v>
      </c>
    </row>
    <row r="98" spans="1:5" s="507" customFormat="1" ht="12.75">
      <c r="A98" s="119" t="s">
        <v>239</v>
      </c>
      <c r="B98" s="374">
        <f>'Доходи заг'!C109</f>
        <v>9270.107</v>
      </c>
      <c r="C98" s="374">
        <f>'Доходи заг'!D109</f>
        <v>2200.655</v>
      </c>
      <c r="D98" s="373">
        <f>C98/B98*100</f>
        <v>23.73926212502186</v>
      </c>
      <c r="E98" s="554">
        <f>C98-B98</f>
        <v>-7069.451999999999</v>
      </c>
    </row>
    <row r="99" spans="1:7" s="507" customFormat="1" ht="21" customHeight="1">
      <c r="A99" s="243" t="s">
        <v>34</v>
      </c>
      <c r="B99" s="550">
        <f>B7+B9+B10+B13+B16+B25+B34+B35+B38+B41+B44+B47+B50+B53+B56+B65+B66+B74+B78+B81+B93+B95+B98+B77</f>
        <v>2545241.3902200004</v>
      </c>
      <c r="C99" s="550">
        <f>C7+C9+C10+C13+C16+C25+C34+C35+C38+C41+C44+C47+C50+C53+C56+C65+C66+C74+C78+C81+C93+C95+C98+C77</f>
        <v>2448229.7641600003</v>
      </c>
      <c r="D99" s="550">
        <f>C99/B99*100</f>
        <v>96.18850980371592</v>
      </c>
      <c r="E99" s="551">
        <f>C99-B99</f>
        <v>-97011.62606000016</v>
      </c>
      <c r="F99" s="512"/>
      <c r="G99" s="512"/>
    </row>
    <row r="100" spans="1:5" s="507" customFormat="1" ht="28.5" customHeight="1">
      <c r="A100" s="119" t="s">
        <v>283</v>
      </c>
      <c r="B100" s="519" t="s">
        <v>9</v>
      </c>
      <c r="C100" s="553">
        <v>111861.18809</v>
      </c>
      <c r="D100" s="519" t="s">
        <v>9</v>
      </c>
      <c r="E100" s="520" t="s">
        <v>9</v>
      </c>
    </row>
    <row r="101" spans="1:5" s="524" customFormat="1" ht="65.25" customHeight="1" hidden="1">
      <c r="A101" s="521" t="s">
        <v>101</v>
      </c>
      <c r="B101" s="385" t="s">
        <v>9</v>
      </c>
      <c r="C101" s="522"/>
      <c r="D101" s="385" t="s">
        <v>9</v>
      </c>
      <c r="E101" s="523" t="s">
        <v>9</v>
      </c>
    </row>
    <row r="102" spans="1:5" s="507" customFormat="1" ht="25.5" hidden="1">
      <c r="A102" s="126" t="s">
        <v>120</v>
      </c>
      <c r="B102" s="396" t="s">
        <v>9</v>
      </c>
      <c r="C102" s="518">
        <f>C100+C101</f>
        <v>111861.18809</v>
      </c>
      <c r="D102" s="396" t="s">
        <v>9</v>
      </c>
      <c r="E102" s="397" t="s">
        <v>9</v>
      </c>
    </row>
    <row r="103" spans="1:5" s="507" customFormat="1" ht="38.25" customHeight="1">
      <c r="A103" s="333" t="s">
        <v>336</v>
      </c>
      <c r="B103" s="396" t="s">
        <v>9</v>
      </c>
      <c r="C103" s="550">
        <f>C99+C102</f>
        <v>2560090.95225</v>
      </c>
      <c r="D103" s="396" t="s">
        <v>9</v>
      </c>
      <c r="E103" s="371" t="s">
        <v>9</v>
      </c>
    </row>
    <row r="104" spans="1:5" s="507" customFormat="1" ht="15" hidden="1">
      <c r="A104" s="334"/>
      <c r="B104" s="519"/>
      <c r="C104" s="525"/>
      <c r="D104" s="519"/>
      <c r="E104" s="510"/>
    </row>
    <row r="105" spans="1:5" s="507" customFormat="1" ht="15" hidden="1">
      <c r="A105" s="334"/>
      <c r="B105" s="519"/>
      <c r="C105" s="525"/>
      <c r="D105" s="519"/>
      <c r="E105" s="510"/>
    </row>
    <row r="106" spans="1:5" s="507" customFormat="1" ht="72" customHeight="1">
      <c r="A106" s="93" t="s">
        <v>25</v>
      </c>
      <c r="B106" s="94" t="str">
        <f>B3</f>
        <v>План на                         перше півріччя 
2019 року</v>
      </c>
      <c r="C106" s="90" t="s">
        <v>57</v>
      </c>
      <c r="D106" s="90" t="str">
        <f>D3</f>
        <v>% виконання до  плану на                  перше півріччя 
2019 року</v>
      </c>
      <c r="E106" s="91" t="s">
        <v>72</v>
      </c>
    </row>
    <row r="107" spans="1:5" s="507" customFormat="1" ht="15.75" customHeight="1" hidden="1">
      <c r="A107" s="93" t="s">
        <v>73</v>
      </c>
      <c r="B107" s="519"/>
      <c r="C107" s="519"/>
      <c r="D107" s="519"/>
      <c r="E107" s="520"/>
    </row>
    <row r="108" spans="1:5" s="507" customFormat="1" ht="30" customHeight="1">
      <c r="A108" s="126" t="s">
        <v>168</v>
      </c>
      <c r="B108" s="553">
        <f>'Видатки заг'!C57</f>
        <v>1071463.3064000004</v>
      </c>
      <c r="C108" s="553">
        <f>'Видатки заг'!E57</f>
        <v>969571.8189299998</v>
      </c>
      <c r="D108" s="373">
        <f>C108/B108*100</f>
        <v>90.49043612960067</v>
      </c>
      <c r="E108" s="556">
        <f>C108-B108</f>
        <v>-101891.48747000052</v>
      </c>
    </row>
    <row r="109" spans="1:5" s="507" customFormat="1" ht="14.25" customHeight="1">
      <c r="A109" s="145" t="s">
        <v>224</v>
      </c>
      <c r="B109" s="553">
        <f>'Видатки заг'!C32</f>
        <v>8959.492</v>
      </c>
      <c r="C109" s="553">
        <f>'Видатки заг'!E32</f>
        <v>911.84783</v>
      </c>
      <c r="D109" s="373">
        <f>C109/B109*100</f>
        <v>10.17745012775278</v>
      </c>
      <c r="E109" s="556">
        <f aca="true" t="shared" si="5" ref="E109:E115">C109-B109</f>
        <v>-8047.6441700000005</v>
      </c>
    </row>
    <row r="110" spans="1:5" s="507" customFormat="1" ht="12.75">
      <c r="A110" s="144" t="str">
        <f>'Видатки заг'!A33</f>
        <v> - інші субвенції з місцевого бюджету</v>
      </c>
      <c r="B110" s="553">
        <f>'Видатки заг'!C33</f>
        <v>4959.075</v>
      </c>
      <c r="C110" s="553">
        <f>'Видатки заг'!E33</f>
        <v>911.84783</v>
      </c>
      <c r="D110" s="373">
        <f>C110/B110*100</f>
        <v>18.38745794326563</v>
      </c>
      <c r="E110" s="556">
        <f t="shared" si="5"/>
        <v>-4047.2271699999997</v>
      </c>
    </row>
    <row r="111" spans="1:5" s="507" customFormat="1" ht="38.25">
      <c r="A111" s="144" t="str">
        <f>'Видатки заг'!A34</f>
        <v> - субвенція з місцевого бюджету державному бюджету на виконання програм соціально-економічного та культурного розвитку регіонів</v>
      </c>
      <c r="B111" s="553">
        <f>'Видатки заг'!C34</f>
        <v>4000.417</v>
      </c>
      <c r="C111" s="553">
        <f>'Видатки заг'!E34</f>
        <v>0</v>
      </c>
      <c r="D111" s="373">
        <f>C111/B111*100</f>
        <v>0</v>
      </c>
      <c r="E111" s="556">
        <f t="shared" si="5"/>
        <v>-4000.417</v>
      </c>
    </row>
    <row r="112" spans="1:5" s="507" customFormat="1" ht="12.75">
      <c r="A112" s="144" t="s">
        <v>26</v>
      </c>
      <c r="B112" s="553">
        <f>'Видатки заг'!C58</f>
        <v>858.2808</v>
      </c>
      <c r="C112" s="553">
        <f>'Видатки заг'!E58</f>
        <v>0</v>
      </c>
      <c r="D112" s="373">
        <f aca="true" t="shared" si="6" ref="D112:D148">C112/B112*100</f>
        <v>0</v>
      </c>
      <c r="E112" s="556">
        <f t="shared" si="5"/>
        <v>-858.2808</v>
      </c>
    </row>
    <row r="113" spans="1:5" s="507" customFormat="1" ht="63.75" hidden="1">
      <c r="A113" s="144" t="str">
        <f>'Видатки заг'!A35</f>
        <v> - субвенція на проведення видатків місцевих бюджетів, що враховуються при визначенні обсягу міжбюджетних трансфертів  (для  надання пільг на медичне обслуговування громадян, які постраждали внаслідок Чорнобильської катастрофи) </v>
      </c>
      <c r="B113" s="553">
        <f>'Видатки заг'!C35</f>
        <v>0</v>
      </c>
      <c r="C113" s="553">
        <f>'Видатки заг'!E35</f>
        <v>0</v>
      </c>
      <c r="D113" s="373" t="e">
        <f t="shared" si="6"/>
        <v>#DIV/0!</v>
      </c>
      <c r="E113" s="556">
        <f t="shared" si="5"/>
        <v>0</v>
      </c>
    </row>
    <row r="114" spans="1:9" s="507" customFormat="1" ht="51" hidden="1">
      <c r="A114" s="526" t="str">
        <f>'Видатки заг'!A36</f>
        <v> - субвенція на проведення видатків місцевих бюджетів, що враховуються при визначенні обсягу міжбюджетних трансфертів  (для  проведення витрат на поховання учасників бойових дій та інвалідів війни) </v>
      </c>
      <c r="B114" s="553">
        <f>'Видатки заг'!C36</f>
        <v>0</v>
      </c>
      <c r="C114" s="553">
        <f>'Видатки заг'!E36</f>
        <v>0</v>
      </c>
      <c r="D114" s="373" t="e">
        <f t="shared" si="6"/>
        <v>#DIV/0!</v>
      </c>
      <c r="E114" s="556">
        <f t="shared" si="5"/>
        <v>0</v>
      </c>
      <c r="G114" s="527"/>
      <c r="H114" s="527"/>
      <c r="I114" s="527"/>
    </row>
    <row r="115" spans="1:9" s="507" customFormat="1" ht="52.5" customHeight="1">
      <c r="A115" s="144" t="s">
        <v>242</v>
      </c>
      <c r="B115" s="553">
        <f>'Видатки заг'!C63</f>
        <v>257.3</v>
      </c>
      <c r="C115" s="553">
        <f>'Видатки заг'!E63</f>
        <v>108.97308</v>
      </c>
      <c r="D115" s="373">
        <f aca="true" t="shared" si="7" ref="D115:D120">C115/B115*100</f>
        <v>42.35253789350952</v>
      </c>
      <c r="E115" s="556">
        <f t="shared" si="5"/>
        <v>-148.32692000000003</v>
      </c>
      <c r="G115" s="527"/>
      <c r="H115" s="527"/>
      <c r="I115" s="527"/>
    </row>
    <row r="116" spans="1:9" s="507" customFormat="1" ht="54" customHeight="1">
      <c r="A116" s="144" t="s">
        <v>243</v>
      </c>
      <c r="B116" s="553">
        <f>'Видатки заг'!C64</f>
        <v>1869.3</v>
      </c>
      <c r="C116" s="553">
        <f>'Видатки заг'!E64</f>
        <v>1865.64693</v>
      </c>
      <c r="D116" s="373">
        <f t="shared" si="7"/>
        <v>99.80457550954904</v>
      </c>
      <c r="E116" s="556">
        <f aca="true" t="shared" si="8" ref="E116:E148">C116-B116</f>
        <v>-3.6530699999998433</v>
      </c>
      <c r="G116" s="527"/>
      <c r="H116" s="527"/>
      <c r="I116" s="527"/>
    </row>
    <row r="117" spans="1:5" s="507" customFormat="1" ht="51">
      <c r="A117" s="144" t="s">
        <v>249</v>
      </c>
      <c r="B117" s="553">
        <f>'Видатки заг'!C65</f>
        <v>38.2</v>
      </c>
      <c r="C117" s="553">
        <f>'Видатки заг'!E65</f>
        <v>38.19387</v>
      </c>
      <c r="D117" s="373">
        <f t="shared" si="7"/>
        <v>99.98395287958114</v>
      </c>
      <c r="E117" s="556">
        <f t="shared" si="8"/>
        <v>-0.006130000000005964</v>
      </c>
    </row>
    <row r="118" spans="1:5" s="507" customFormat="1" ht="63.75" hidden="1">
      <c r="A118" s="144" t="s">
        <v>273</v>
      </c>
      <c r="B118" s="553">
        <f>'Видатки заг'!C66</f>
        <v>0</v>
      </c>
      <c r="C118" s="553">
        <f>'Видатки заг'!E66</f>
        <v>0</v>
      </c>
      <c r="D118" s="373" t="e">
        <f t="shared" si="7"/>
        <v>#DIV/0!</v>
      </c>
      <c r="E118" s="556">
        <f>C118-B118</f>
        <v>0</v>
      </c>
    </row>
    <row r="119" spans="1:5" s="507" customFormat="1" ht="183" customHeight="1">
      <c r="A119" s="144" t="s">
        <v>274</v>
      </c>
      <c r="B119" s="553">
        <f>'Видатки заг'!C67</f>
        <v>19660</v>
      </c>
      <c r="C119" s="553">
        <f>'Видатки заг'!E67</f>
        <v>19660</v>
      </c>
      <c r="D119" s="373">
        <f t="shared" si="7"/>
        <v>100</v>
      </c>
      <c r="E119" s="556">
        <f>C119-B119</f>
        <v>0</v>
      </c>
    </row>
    <row r="120" spans="1:5" s="507" customFormat="1" ht="12.75" hidden="1">
      <c r="A120" s="335" t="str">
        <f>'Видатки заг'!A72</f>
        <v>Стабiлiзацiйна дотацiя</v>
      </c>
      <c r="B120" s="553">
        <f>'Видатки заг'!C72</f>
        <v>0</v>
      </c>
      <c r="C120" s="553">
        <f>'Видатки заг'!E72</f>
        <v>0</v>
      </c>
      <c r="D120" s="373" t="e">
        <f t="shared" si="7"/>
        <v>#DIV/0!</v>
      </c>
      <c r="E120" s="556">
        <f>C120-B120</f>
        <v>0</v>
      </c>
    </row>
    <row r="121" spans="1:5" s="507" customFormat="1" ht="39" customHeight="1">
      <c r="A121" s="335" t="s">
        <v>232</v>
      </c>
      <c r="B121" s="553">
        <f>'Видатки заг'!C73</f>
        <v>144282.049</v>
      </c>
      <c r="C121" s="553">
        <f>'Видатки заг'!E73</f>
        <v>144282.049</v>
      </c>
      <c r="D121" s="373">
        <f t="shared" si="6"/>
        <v>100</v>
      </c>
      <c r="E121" s="556">
        <f t="shared" si="8"/>
        <v>0</v>
      </c>
    </row>
    <row r="122" spans="1:5" s="507" customFormat="1" ht="25.5">
      <c r="A122" s="126" t="s">
        <v>223</v>
      </c>
      <c r="B122" s="553">
        <f>'Видатки заг'!C78</f>
        <v>1220579.3</v>
      </c>
      <c r="C122" s="557">
        <f>'Видатки заг'!E78</f>
        <v>1136048.2496</v>
      </c>
      <c r="D122" s="373">
        <f t="shared" si="6"/>
        <v>93.07451384764595</v>
      </c>
      <c r="E122" s="556">
        <f t="shared" si="8"/>
        <v>-84531.05040000007</v>
      </c>
    </row>
    <row r="123" spans="1:5" s="507" customFormat="1" ht="12.75" hidden="1">
      <c r="A123" s="126" t="s">
        <v>38</v>
      </c>
      <c r="B123" s="557"/>
      <c r="C123" s="557"/>
      <c r="D123" s="373" t="e">
        <f t="shared" si="6"/>
        <v>#DIV/0!</v>
      </c>
      <c r="E123" s="556">
        <f t="shared" si="8"/>
        <v>0</v>
      </c>
    </row>
    <row r="124" spans="1:5" s="507" customFormat="1" ht="12.75" hidden="1">
      <c r="A124" s="126" t="s">
        <v>39</v>
      </c>
      <c r="B124" s="557"/>
      <c r="C124" s="557"/>
      <c r="D124" s="373" t="e">
        <f t="shared" si="6"/>
        <v>#DIV/0!</v>
      </c>
      <c r="E124" s="556">
        <f t="shared" si="8"/>
        <v>0</v>
      </c>
    </row>
    <row r="125" spans="1:5" s="507" customFormat="1" ht="40.5" customHeight="1">
      <c r="A125" s="119" t="s">
        <v>250</v>
      </c>
      <c r="B125" s="557">
        <f>'Видатки заг'!C74</f>
        <v>6735.5</v>
      </c>
      <c r="C125" s="557">
        <f>'Видатки заг'!E74</f>
        <v>6689.6378</v>
      </c>
      <c r="D125" s="373">
        <f t="shared" si="6"/>
        <v>99.31909732016926</v>
      </c>
      <c r="E125" s="556">
        <f t="shared" si="8"/>
        <v>-45.862199999999575</v>
      </c>
    </row>
    <row r="126" spans="1:5" s="507" customFormat="1" ht="38.25">
      <c r="A126" s="128" t="s">
        <v>235</v>
      </c>
      <c r="B126" s="557">
        <f>'Видатки заг'!C76</f>
        <v>10128.867</v>
      </c>
      <c r="C126" s="557">
        <f>'Видатки заг'!E76</f>
        <v>10116.292</v>
      </c>
      <c r="D126" s="373">
        <f t="shared" si="6"/>
        <v>99.8758498852833</v>
      </c>
      <c r="E126" s="556">
        <f t="shared" si="8"/>
        <v>-12.575000000000728</v>
      </c>
    </row>
    <row r="127" spans="1:5" s="507" customFormat="1" ht="63.75">
      <c r="A127" s="128" t="s">
        <v>237</v>
      </c>
      <c r="B127" s="557">
        <f>'Видатки заг'!C79</f>
        <v>7438.961</v>
      </c>
      <c r="C127" s="557">
        <f>'Видатки заг'!E79</f>
        <v>0</v>
      </c>
      <c r="D127" s="373">
        <f t="shared" si="6"/>
        <v>0</v>
      </c>
      <c r="E127" s="556">
        <f t="shared" si="8"/>
        <v>-7438.961</v>
      </c>
    </row>
    <row r="128" spans="1:5" s="507" customFormat="1" ht="51">
      <c r="A128" s="145" t="s">
        <v>202</v>
      </c>
      <c r="B128" s="557">
        <f>'Видатки заг'!C75</f>
        <v>14.7</v>
      </c>
      <c r="C128" s="557">
        <f>'Видатки заг'!E75</f>
        <v>14.7</v>
      </c>
      <c r="D128" s="373">
        <f t="shared" si="6"/>
        <v>100</v>
      </c>
      <c r="E128" s="556">
        <f t="shared" si="8"/>
        <v>0</v>
      </c>
    </row>
    <row r="129" spans="1:5" s="507" customFormat="1" ht="12.75" hidden="1">
      <c r="A129" s="119" t="s">
        <v>256</v>
      </c>
      <c r="B129" s="557">
        <f>'Видатки заг'!C80</f>
        <v>0</v>
      </c>
      <c r="C129" s="557">
        <f>'Видатки заг'!E80</f>
        <v>0</v>
      </c>
      <c r="D129" s="373" t="e">
        <f t="shared" si="6"/>
        <v>#DIV/0!</v>
      </c>
      <c r="E129" s="556">
        <f t="shared" si="8"/>
        <v>0</v>
      </c>
    </row>
    <row r="130" spans="1:5" s="507" customFormat="1" ht="12.75" hidden="1">
      <c r="A130" s="119" t="s">
        <v>275</v>
      </c>
      <c r="B130" s="557">
        <f>'Видатки заг'!C81</f>
        <v>0</v>
      </c>
      <c r="C130" s="557">
        <f>'Видатки заг'!E81</f>
        <v>0</v>
      </c>
      <c r="D130" s="373" t="e">
        <f>C130/B130*100</f>
        <v>#DIV/0!</v>
      </c>
      <c r="E130" s="556">
        <f>C130-B130</f>
        <v>0</v>
      </c>
    </row>
    <row r="131" spans="1:5" s="507" customFormat="1" ht="38.25">
      <c r="A131" s="528" t="str">
        <f>'Видатки заг'!A82</f>
        <v>Субвенція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B131" s="553">
        <f>'Видатки заг'!C82</f>
        <v>13515.681</v>
      </c>
      <c r="C131" s="553">
        <f>'Видатки заг'!E82</f>
        <v>13515.681</v>
      </c>
      <c r="D131" s="373">
        <f t="shared" si="6"/>
        <v>100</v>
      </c>
      <c r="E131" s="556">
        <f t="shared" si="8"/>
        <v>0</v>
      </c>
    </row>
    <row r="132" spans="1:5" s="507" customFormat="1" ht="38.25">
      <c r="A132" s="528" t="s">
        <v>286</v>
      </c>
      <c r="B132" s="553">
        <f>'Видатки заг'!C83</f>
        <v>6567.281</v>
      </c>
      <c r="C132" s="553">
        <f>'Видатки заг'!E83</f>
        <v>6567.281</v>
      </c>
      <c r="D132" s="373">
        <f>C132/B132*100</f>
        <v>100</v>
      </c>
      <c r="E132" s="556">
        <f>C132-B132</f>
        <v>0</v>
      </c>
    </row>
    <row r="133" spans="1:5" s="507" customFormat="1" ht="38.25">
      <c r="A133" s="128" t="str">
        <f>'Видатки заг'!A84</f>
        <v>Субвенція з місцевого бюджету за рахунок залишку коштів освітньої субвенції, що утворився на початок бюджетного періоду</v>
      </c>
      <c r="B133" s="557">
        <f>'Видатки заг'!C84</f>
        <v>20874.828</v>
      </c>
      <c r="C133" s="557">
        <f>'Видатки заг'!E84</f>
        <v>20874.828</v>
      </c>
      <c r="D133" s="373">
        <f t="shared" si="6"/>
        <v>100</v>
      </c>
      <c r="E133" s="556">
        <f t="shared" si="8"/>
        <v>0</v>
      </c>
    </row>
    <row r="134" spans="1:5" s="507" customFormat="1" ht="38.25" hidden="1">
      <c r="A134" s="128" t="str">
        <f>'Видатки заг'!A85</f>
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</c>
      <c r="B134" s="517">
        <f>'Видатки заг'!C85</f>
        <v>6927.075</v>
      </c>
      <c r="C134" s="517">
        <f>'Видатки заг'!E85</f>
        <v>6927.075</v>
      </c>
      <c r="D134" s="368">
        <f>C134/B134*100</f>
        <v>100</v>
      </c>
      <c r="E134" s="510">
        <f>C134-B134</f>
        <v>0</v>
      </c>
    </row>
    <row r="135" spans="1:5" s="507" customFormat="1" ht="51" hidden="1">
      <c r="A135" s="128" t="s">
        <v>276</v>
      </c>
      <c r="B135" s="517">
        <f>'Видатки заг'!C86</f>
        <v>0</v>
      </c>
      <c r="C135" s="517">
        <f>'Видатки заг'!E86</f>
        <v>0</v>
      </c>
      <c r="D135" s="368" t="e">
        <f>C135/B135*100</f>
        <v>#DIV/0!</v>
      </c>
      <c r="E135" s="510">
        <f>C135-B135</f>
        <v>0</v>
      </c>
    </row>
    <row r="136" spans="1:5" s="507" customFormat="1" ht="38.25" hidden="1">
      <c r="A136" s="128" t="str">
        <f>'Видатки заг'!A87</f>
        <v>Субвенція з місцевого бюджету на здійснення переданих видатків у сфері охорони здоров'я за рахунок коштів медичної субвенції</v>
      </c>
      <c r="B136" s="517">
        <f>'Видатки заг'!C87</f>
        <v>0</v>
      </c>
      <c r="C136" s="517">
        <f>'Видатки заг'!E87</f>
        <v>0</v>
      </c>
      <c r="D136" s="368" t="e">
        <f>C136/B136*100</f>
        <v>#DIV/0!</v>
      </c>
      <c r="E136" s="510">
        <f>C136-B136</f>
        <v>0</v>
      </c>
    </row>
    <row r="137" spans="1:5" s="507" customFormat="1" ht="38.25" hidden="1">
      <c r="A137" s="119" t="s">
        <v>46</v>
      </c>
      <c r="B137" s="517">
        <f>'Видатки заг'!C89</f>
        <v>528.66</v>
      </c>
      <c r="C137" s="517">
        <f>'Видатки заг'!E89</f>
        <v>528.66</v>
      </c>
      <c r="D137" s="368">
        <f t="shared" si="6"/>
        <v>100</v>
      </c>
      <c r="E137" s="510">
        <f t="shared" si="8"/>
        <v>0</v>
      </c>
    </row>
    <row r="138" spans="1:5" s="507" customFormat="1" ht="38.25" hidden="1">
      <c r="A138" s="143" t="s">
        <v>203</v>
      </c>
      <c r="B138" s="514">
        <f>'Видатки заг'!C88</f>
        <v>1561</v>
      </c>
      <c r="C138" s="514">
        <f>'Видатки заг'!E88</f>
        <v>1561</v>
      </c>
      <c r="D138" s="368">
        <f t="shared" si="6"/>
        <v>100</v>
      </c>
      <c r="E138" s="510">
        <f t="shared" si="8"/>
        <v>0</v>
      </c>
    </row>
    <row r="139" spans="1:5" s="507" customFormat="1" ht="25.5" hidden="1">
      <c r="A139" s="143" t="s">
        <v>74</v>
      </c>
      <c r="B139" s="514"/>
      <c r="C139" s="514"/>
      <c r="D139" s="368" t="e">
        <f t="shared" si="6"/>
        <v>#DIV/0!</v>
      </c>
      <c r="E139" s="510">
        <f t="shared" si="8"/>
        <v>0</v>
      </c>
    </row>
    <row r="140" spans="1:5" s="507" customFormat="1" ht="127.5">
      <c r="A140" s="143" t="s">
        <v>245</v>
      </c>
      <c r="B140" s="553">
        <f>'Видатки заг'!C77</f>
        <v>23575.6</v>
      </c>
      <c r="C140" s="553">
        <f>'Видатки заг'!E77</f>
        <v>22337.7</v>
      </c>
      <c r="D140" s="373">
        <f t="shared" si="6"/>
        <v>94.74923225707937</v>
      </c>
      <c r="E140" s="556">
        <f t="shared" si="8"/>
        <v>-1237.8999999999978</v>
      </c>
    </row>
    <row r="141" spans="1:5" s="507" customFormat="1" ht="38.25">
      <c r="A141" s="119" t="s">
        <v>326</v>
      </c>
      <c r="B141" s="553">
        <f>'Видатки заг'!C85</f>
        <v>6927.075</v>
      </c>
      <c r="C141" s="553">
        <f>'Видатки заг'!E85</f>
        <v>6927.075</v>
      </c>
      <c r="D141" s="373">
        <f t="shared" si="6"/>
        <v>100</v>
      </c>
      <c r="E141" s="556">
        <f t="shared" si="8"/>
        <v>0</v>
      </c>
    </row>
    <row r="142" spans="1:5" s="507" customFormat="1" ht="51">
      <c r="A142" s="119" t="s">
        <v>327</v>
      </c>
      <c r="B142" s="553">
        <f>'Видатки заг'!C88</f>
        <v>1561</v>
      </c>
      <c r="C142" s="553">
        <f>'Видатки заг'!E88</f>
        <v>1561</v>
      </c>
      <c r="D142" s="373">
        <f>C142/B142*100</f>
        <v>100</v>
      </c>
      <c r="E142" s="556">
        <f t="shared" si="8"/>
        <v>0</v>
      </c>
    </row>
    <row r="143" spans="1:256" s="530" customFormat="1" ht="38.25">
      <c r="A143" s="119" t="s">
        <v>103</v>
      </c>
      <c r="B143" s="553">
        <f>'Видатки заг'!C89</f>
        <v>528.66</v>
      </c>
      <c r="C143" s="553">
        <f>'Видатки заг'!E89</f>
        <v>528.66</v>
      </c>
      <c r="D143" s="373">
        <f>C143/B143*100</f>
        <v>100</v>
      </c>
      <c r="E143" s="556">
        <f t="shared" si="8"/>
        <v>0</v>
      </c>
      <c r="F143" s="529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  <c r="Z143" s="529"/>
      <c r="AA143" s="529"/>
      <c r="AB143" s="529"/>
      <c r="AC143" s="529"/>
      <c r="AD143" s="529"/>
      <c r="AE143" s="529"/>
      <c r="AF143" s="529"/>
      <c r="AG143" s="529"/>
      <c r="AH143" s="529"/>
      <c r="AI143" s="529"/>
      <c r="AJ143" s="529"/>
      <c r="AK143" s="529"/>
      <c r="AL143" s="529"/>
      <c r="AM143" s="529"/>
      <c r="AN143" s="529"/>
      <c r="AO143" s="529"/>
      <c r="AP143" s="529"/>
      <c r="AQ143" s="529"/>
      <c r="AR143" s="529"/>
      <c r="AS143" s="529"/>
      <c r="AT143" s="529"/>
      <c r="AU143" s="529"/>
      <c r="AV143" s="529"/>
      <c r="AW143" s="529"/>
      <c r="AX143" s="529"/>
      <c r="AY143" s="529"/>
      <c r="AZ143" s="529"/>
      <c r="BA143" s="529"/>
      <c r="BB143" s="529"/>
      <c r="BC143" s="529"/>
      <c r="BD143" s="529"/>
      <c r="BE143" s="529"/>
      <c r="BF143" s="529"/>
      <c r="BG143" s="529"/>
      <c r="BH143" s="529"/>
      <c r="BI143" s="529"/>
      <c r="BJ143" s="529"/>
      <c r="BK143" s="529"/>
      <c r="BL143" s="529"/>
      <c r="BM143" s="529"/>
      <c r="BN143" s="529"/>
      <c r="BO143" s="529"/>
      <c r="BP143" s="529"/>
      <c r="BQ143" s="529"/>
      <c r="BR143" s="529"/>
      <c r="BS143" s="529"/>
      <c r="BT143" s="529"/>
      <c r="BU143" s="529"/>
      <c r="BV143" s="529"/>
      <c r="BW143" s="529"/>
      <c r="BX143" s="529"/>
      <c r="BY143" s="529"/>
      <c r="BZ143" s="529"/>
      <c r="CA143" s="529"/>
      <c r="CB143" s="529"/>
      <c r="CC143" s="529"/>
      <c r="CD143" s="529"/>
      <c r="CE143" s="529"/>
      <c r="CF143" s="529"/>
      <c r="CG143" s="529"/>
      <c r="CH143" s="529"/>
      <c r="CI143" s="529"/>
      <c r="CJ143" s="529"/>
      <c r="CK143" s="529"/>
      <c r="CL143" s="529"/>
      <c r="CM143" s="529"/>
      <c r="CN143" s="529"/>
      <c r="CO143" s="529"/>
      <c r="CP143" s="529"/>
      <c r="CQ143" s="529"/>
      <c r="CR143" s="529"/>
      <c r="CS143" s="529"/>
      <c r="CT143" s="529"/>
      <c r="CU143" s="529"/>
      <c r="CV143" s="529"/>
      <c r="CW143" s="529"/>
      <c r="CX143" s="529"/>
      <c r="CY143" s="529"/>
      <c r="CZ143" s="529"/>
      <c r="DA143" s="529"/>
      <c r="DB143" s="529"/>
      <c r="DC143" s="529"/>
      <c r="DD143" s="529"/>
      <c r="DE143" s="529"/>
      <c r="DF143" s="529"/>
      <c r="DG143" s="529"/>
      <c r="DH143" s="529"/>
      <c r="DI143" s="529"/>
      <c r="DJ143" s="529"/>
      <c r="DK143" s="529"/>
      <c r="DL143" s="529"/>
      <c r="DM143" s="529"/>
      <c r="DN143" s="529"/>
      <c r="DO143" s="529"/>
      <c r="DP143" s="529"/>
      <c r="DQ143" s="529"/>
      <c r="DR143" s="529"/>
      <c r="DS143" s="529"/>
      <c r="DT143" s="529"/>
      <c r="DU143" s="529"/>
      <c r="DV143" s="529"/>
      <c r="DW143" s="529"/>
      <c r="DX143" s="529"/>
      <c r="DY143" s="529"/>
      <c r="DZ143" s="529"/>
      <c r="EA143" s="529"/>
      <c r="EB143" s="529"/>
      <c r="EC143" s="529"/>
      <c r="ED143" s="529"/>
      <c r="EE143" s="529"/>
      <c r="EF143" s="529"/>
      <c r="EG143" s="529"/>
      <c r="EH143" s="529"/>
      <c r="EI143" s="529"/>
      <c r="EJ143" s="529"/>
      <c r="EK143" s="529"/>
      <c r="EL143" s="529"/>
      <c r="EM143" s="529"/>
      <c r="EN143" s="529"/>
      <c r="EO143" s="529"/>
      <c r="EP143" s="529"/>
      <c r="EQ143" s="529"/>
      <c r="ER143" s="529"/>
      <c r="ES143" s="529"/>
      <c r="ET143" s="529"/>
      <c r="EU143" s="529"/>
      <c r="EV143" s="529"/>
      <c r="EW143" s="529"/>
      <c r="EX143" s="529"/>
      <c r="EY143" s="529"/>
      <c r="EZ143" s="529"/>
      <c r="FA143" s="529"/>
      <c r="FB143" s="529"/>
      <c r="FC143" s="529"/>
      <c r="FD143" s="529"/>
      <c r="FE143" s="529"/>
      <c r="FF143" s="529"/>
      <c r="FG143" s="529"/>
      <c r="FH143" s="529"/>
      <c r="FI143" s="529"/>
      <c r="FJ143" s="529"/>
      <c r="FK143" s="529"/>
      <c r="FL143" s="529"/>
      <c r="FM143" s="529"/>
      <c r="FN143" s="529"/>
      <c r="FO143" s="529"/>
      <c r="FP143" s="529"/>
      <c r="FQ143" s="529"/>
      <c r="FR143" s="529"/>
      <c r="FS143" s="529"/>
      <c r="FT143" s="529"/>
      <c r="FU143" s="529"/>
      <c r="FV143" s="529"/>
      <c r="FW143" s="529"/>
      <c r="FX143" s="529"/>
      <c r="FY143" s="529"/>
      <c r="FZ143" s="529"/>
      <c r="GA143" s="529"/>
      <c r="GB143" s="529"/>
      <c r="GC143" s="529"/>
      <c r="GD143" s="529"/>
      <c r="GE143" s="529"/>
      <c r="GF143" s="529"/>
      <c r="GG143" s="529"/>
      <c r="GH143" s="529"/>
      <c r="GI143" s="529"/>
      <c r="GJ143" s="529"/>
      <c r="GK143" s="529"/>
      <c r="GL143" s="529"/>
      <c r="GM143" s="529"/>
      <c r="GN143" s="529"/>
      <c r="GO143" s="529"/>
      <c r="GP143" s="529"/>
      <c r="GQ143" s="529"/>
      <c r="GR143" s="529"/>
      <c r="GS143" s="529"/>
      <c r="GT143" s="529"/>
      <c r="GU143" s="529"/>
      <c r="GV143" s="529"/>
      <c r="GW143" s="529"/>
      <c r="GX143" s="529"/>
      <c r="GY143" s="529"/>
      <c r="GZ143" s="529"/>
      <c r="HA143" s="529"/>
      <c r="HB143" s="529"/>
      <c r="HC143" s="529"/>
      <c r="HD143" s="529"/>
      <c r="HE143" s="529"/>
      <c r="HF143" s="529"/>
      <c r="HG143" s="529"/>
      <c r="HH143" s="529"/>
      <c r="HI143" s="529"/>
      <c r="HJ143" s="529"/>
      <c r="HK143" s="529"/>
      <c r="HL143" s="529"/>
      <c r="HM143" s="529"/>
      <c r="HN143" s="529"/>
      <c r="HO143" s="529"/>
      <c r="HP143" s="529"/>
      <c r="HQ143" s="529"/>
      <c r="HR143" s="529"/>
      <c r="HS143" s="529"/>
      <c r="HT143" s="529"/>
      <c r="HU143" s="529"/>
      <c r="HV143" s="529"/>
      <c r="HW143" s="529"/>
      <c r="HX143" s="529"/>
      <c r="HY143" s="529"/>
      <c r="HZ143" s="529"/>
      <c r="IA143" s="529"/>
      <c r="IB143" s="529"/>
      <c r="IC143" s="529"/>
      <c r="ID143" s="529"/>
      <c r="IE143" s="529"/>
      <c r="IF143" s="529"/>
      <c r="IG143" s="529"/>
      <c r="IH143" s="529"/>
      <c r="II143" s="529"/>
      <c r="IJ143" s="529"/>
      <c r="IK143" s="529"/>
      <c r="IL143" s="529"/>
      <c r="IM143" s="529"/>
      <c r="IN143" s="529"/>
      <c r="IO143" s="529"/>
      <c r="IP143" s="529"/>
      <c r="IQ143" s="529"/>
      <c r="IR143" s="529"/>
      <c r="IS143" s="529"/>
      <c r="IT143" s="529"/>
      <c r="IU143" s="529"/>
      <c r="IV143" s="529"/>
    </row>
    <row r="144" spans="1:5" s="507" customFormat="1" ht="38.25" hidden="1">
      <c r="A144" s="516" t="s">
        <v>210</v>
      </c>
      <c r="B144" s="553"/>
      <c r="C144" s="553"/>
      <c r="D144" s="373" t="e">
        <f t="shared" si="6"/>
        <v>#DIV/0!</v>
      </c>
      <c r="E144" s="556">
        <f t="shared" si="8"/>
        <v>0</v>
      </c>
    </row>
    <row r="145" spans="1:5" s="507" customFormat="1" ht="12.75" hidden="1">
      <c r="A145" s="143"/>
      <c r="B145" s="553"/>
      <c r="C145" s="373"/>
      <c r="D145" s="373" t="e">
        <f t="shared" si="6"/>
        <v>#DIV/0!</v>
      </c>
      <c r="E145" s="556">
        <f t="shared" si="8"/>
        <v>0</v>
      </c>
    </row>
    <row r="146" spans="1:5" s="507" customFormat="1" ht="38.25">
      <c r="A146" s="119" t="s">
        <v>335</v>
      </c>
      <c r="B146" s="553">
        <f>кредитование!C10</f>
        <v>367.9625</v>
      </c>
      <c r="C146" s="373">
        <f>кредитование!E10</f>
        <v>99.4505</v>
      </c>
      <c r="D146" s="373">
        <f t="shared" si="6"/>
        <v>27.027346536671537</v>
      </c>
      <c r="E146" s="556">
        <f t="shared" si="8"/>
        <v>-268.51199999999994</v>
      </c>
    </row>
    <row r="147" spans="1:5" s="507" customFormat="1" ht="38.25">
      <c r="A147" s="119" t="s">
        <v>321</v>
      </c>
      <c r="B147" s="553">
        <f>кредитование!C11</f>
        <v>3921.5</v>
      </c>
      <c r="C147" s="373">
        <f>кредитование!E11</f>
        <v>3921.5</v>
      </c>
      <c r="D147" s="373">
        <f t="shared" si="6"/>
        <v>100</v>
      </c>
      <c r="E147" s="556">
        <f t="shared" si="8"/>
        <v>0</v>
      </c>
    </row>
    <row r="148" spans="1:5" s="507" customFormat="1" ht="25.5">
      <c r="A148" s="119" t="s">
        <v>322</v>
      </c>
      <c r="B148" s="553">
        <f>кредитование!C12</f>
        <v>1338.654</v>
      </c>
      <c r="C148" s="373">
        <f>кредитование!E12</f>
        <v>1338.654</v>
      </c>
      <c r="D148" s="373">
        <f t="shared" si="6"/>
        <v>100</v>
      </c>
      <c r="E148" s="556">
        <f t="shared" si="8"/>
        <v>0</v>
      </c>
    </row>
    <row r="149" spans="1:5" s="507" customFormat="1" ht="25.5">
      <c r="A149" s="119" t="s">
        <v>323</v>
      </c>
      <c r="B149" s="553">
        <f>кредитование!C13</f>
        <v>1973.627</v>
      </c>
      <c r="C149" s="373">
        <f>кредитование!E13</f>
        <v>1463.627</v>
      </c>
      <c r="D149" s="373">
        <f>C149/B149*100</f>
        <v>74.15925096282125</v>
      </c>
      <c r="E149" s="556">
        <f>C149-B149</f>
        <v>-510</v>
      </c>
    </row>
    <row r="150" spans="1:7" s="507" customFormat="1" ht="27.75" customHeight="1">
      <c r="A150" s="531" t="s">
        <v>95</v>
      </c>
      <c r="B150" s="550">
        <f>B108+B112+B115+B116+B117+B119+B121+B122+B125+B126+B127+B128+B131+B132+B133+B140+B141+B142+B143+B146+B147+B148+B149</f>
        <v>2564477.632700001</v>
      </c>
      <c r="C150" s="550">
        <f>C108+C112+C115+C116+C117+C119+C121+C122+C125+C126+C127+C128+C131+C132+C133+C140+C141+C142+C143+C146+C147+C148+C149</f>
        <v>2367531.0177100003</v>
      </c>
      <c r="D150" s="550">
        <f>C150/B150*100</f>
        <v>92.32020539080912</v>
      </c>
      <c r="E150" s="551">
        <f>C150-B150</f>
        <v>-196946.6149900006</v>
      </c>
      <c r="F150" s="527"/>
      <c r="G150" s="527"/>
    </row>
    <row r="151" spans="1:7" s="507" customFormat="1" ht="76.5">
      <c r="A151" s="126" t="s">
        <v>310</v>
      </c>
      <c r="B151" s="368" t="s">
        <v>9</v>
      </c>
      <c r="C151" s="553">
        <v>-4039.56745</v>
      </c>
      <c r="D151" s="368" t="s">
        <v>9</v>
      </c>
      <c r="E151" s="510" t="s">
        <v>9</v>
      </c>
      <c r="F151" s="524"/>
      <c r="G151" s="527"/>
    </row>
    <row r="152" spans="1:7" s="507" customFormat="1" ht="29.25" customHeight="1">
      <c r="A152" s="531" t="s">
        <v>134</v>
      </c>
      <c r="B152" s="549">
        <f>B150</f>
        <v>2564477.632700001</v>
      </c>
      <c r="C152" s="549">
        <f>C150+C151</f>
        <v>2363491.4502600003</v>
      </c>
      <c r="D152" s="550">
        <f>C152/B152*100</f>
        <v>92.16268530178627</v>
      </c>
      <c r="E152" s="551">
        <f>C152-B152</f>
        <v>-200986.1824400006</v>
      </c>
      <c r="F152" s="527"/>
      <c r="G152" s="527"/>
    </row>
    <row r="153" spans="1:7" s="532" customFormat="1" ht="38.25">
      <c r="A153" s="117" t="s">
        <v>138</v>
      </c>
      <c r="B153" s="552">
        <f>'Видатки заг'!C68</f>
        <v>153088.93069</v>
      </c>
      <c r="C153" s="552">
        <f>'Видатки заг'!E68</f>
        <v>84602.18246</v>
      </c>
      <c r="D153" s="553">
        <f>C153/B153*100</f>
        <v>55.26342242948748</v>
      </c>
      <c r="E153" s="554">
        <f>C153-B153</f>
        <v>-68486.74823000001</v>
      </c>
      <c r="G153" s="533"/>
    </row>
    <row r="154" spans="1:5" s="507" customFormat="1" ht="25.5" hidden="1">
      <c r="A154" s="117" t="s">
        <v>139</v>
      </c>
      <c r="B154" s="552"/>
      <c r="C154" s="552"/>
      <c r="D154" s="553" t="e">
        <f>C154/B154*100</f>
        <v>#DIV/0!</v>
      </c>
      <c r="E154" s="554">
        <f>C154-B154</f>
        <v>0</v>
      </c>
    </row>
    <row r="155" spans="1:5" s="507" customFormat="1" ht="22.5" customHeight="1">
      <c r="A155" s="531" t="s">
        <v>140</v>
      </c>
      <c r="B155" s="549">
        <f>B152+B153</f>
        <v>2717566.5633900007</v>
      </c>
      <c r="C155" s="549">
        <f>C150-C151+C153</f>
        <v>2456172.76762</v>
      </c>
      <c r="D155" s="550">
        <f>C155/B155*100</f>
        <v>90.3813286750214</v>
      </c>
      <c r="E155" s="551">
        <f>C155-B155</f>
        <v>-261393.79577000067</v>
      </c>
    </row>
    <row r="156" spans="1:5" s="507" customFormat="1" ht="76.5" hidden="1">
      <c r="A156" s="240" t="s">
        <v>194</v>
      </c>
      <c r="B156" s="534"/>
      <c r="C156" s="534">
        <v>0</v>
      </c>
      <c r="D156" s="509" t="e">
        <f>C156/B156*100</f>
        <v>#DIV/0!</v>
      </c>
      <c r="E156" s="515">
        <f>C156-B156</f>
        <v>0</v>
      </c>
    </row>
    <row r="157" spans="1:5" s="507" customFormat="1" ht="12.75" hidden="1">
      <c r="A157" s="535" t="s">
        <v>150</v>
      </c>
      <c r="B157" s="387" t="s">
        <v>10</v>
      </c>
      <c r="C157" s="387">
        <f>C155+C156</f>
        <v>2456172.76762</v>
      </c>
      <c r="D157" s="387" t="s">
        <v>10</v>
      </c>
      <c r="E157" s="536" t="s">
        <v>10</v>
      </c>
    </row>
    <row r="158" spans="1:5" s="507" customFormat="1" ht="27.75" customHeight="1" thickBot="1">
      <c r="A158" s="537" t="s">
        <v>337</v>
      </c>
      <c r="B158" s="538" t="s">
        <v>10</v>
      </c>
      <c r="C158" s="555">
        <f>C103-C157</f>
        <v>103918.18463000003</v>
      </c>
      <c r="D158" s="538" t="s">
        <v>10</v>
      </c>
      <c r="E158" s="539" t="s">
        <v>10</v>
      </c>
    </row>
    <row r="159" spans="1:5" s="507" customFormat="1" ht="25.5" hidden="1">
      <c r="A159" s="336" t="s">
        <v>288</v>
      </c>
      <c r="B159" s="540" t="s">
        <v>206</v>
      </c>
      <c r="C159" s="540"/>
      <c r="D159" s="540" t="s">
        <v>10</v>
      </c>
      <c r="E159" s="541" t="s">
        <v>10</v>
      </c>
    </row>
    <row r="160" spans="1:5" s="507" customFormat="1" ht="26.25" hidden="1" thickBot="1">
      <c r="A160" s="337" t="s">
        <v>289</v>
      </c>
      <c r="B160" s="390" t="s">
        <v>10</v>
      </c>
      <c r="C160" s="390">
        <f>C158-C159</f>
        <v>103918.18463000003</v>
      </c>
      <c r="D160" s="390" t="s">
        <v>10</v>
      </c>
      <c r="E160" s="542" t="s">
        <v>10</v>
      </c>
    </row>
    <row r="161" spans="1:5" s="507" customFormat="1" ht="12.75">
      <c r="A161" s="543"/>
      <c r="B161" s="544"/>
      <c r="C161" s="544"/>
      <c r="D161" s="544"/>
      <c r="E161" s="544"/>
    </row>
    <row r="162" spans="1:3" s="507" customFormat="1" ht="12.75">
      <c r="A162" s="545" t="s">
        <v>144</v>
      </c>
      <c r="B162" s="546"/>
      <c r="C162" s="547"/>
    </row>
    <row r="163" spans="1:5" s="507" customFormat="1" ht="12.75">
      <c r="A163" s="545" t="s">
        <v>145</v>
      </c>
      <c r="E163" s="548" t="s">
        <v>267</v>
      </c>
    </row>
    <row r="164" spans="1:7" ht="12.75" hidden="1">
      <c r="A164" s="82" t="s">
        <v>263</v>
      </c>
      <c r="B164" s="82"/>
      <c r="C164" s="81"/>
      <c r="D164" s="81"/>
      <c r="E164" s="81"/>
      <c r="F164" s="81"/>
      <c r="G164" s="81"/>
    </row>
    <row r="165" spans="1:7" ht="12.75" hidden="1">
      <c r="A165" s="82" t="s">
        <v>264</v>
      </c>
      <c r="B165" s="82"/>
      <c r="C165" s="81"/>
      <c r="D165" s="82"/>
      <c r="E165" s="81"/>
      <c r="F165" s="82"/>
      <c r="G165" s="83"/>
    </row>
    <row r="166" spans="1:6" ht="12.75" hidden="1">
      <c r="A166" s="82" t="s">
        <v>265</v>
      </c>
      <c r="B166" s="82"/>
      <c r="C166" s="81"/>
      <c r="D166" s="81"/>
      <c r="E166" s="81" t="s">
        <v>266</v>
      </c>
      <c r="F166" s="81"/>
    </row>
    <row r="167" spans="1:5" ht="12.75">
      <c r="A167" s="36"/>
      <c r="B167" s="37"/>
      <c r="C167" s="37"/>
      <c r="D167" s="37"/>
      <c r="E167" s="37"/>
    </row>
    <row r="168" ht="12.75">
      <c r="B168" s="67"/>
    </row>
    <row r="169" ht="12.75">
      <c r="B169" s="70"/>
    </row>
    <row r="170" ht="12.75">
      <c r="B170" s="68"/>
    </row>
    <row r="171" spans="2:5" ht="12.75">
      <c r="B171" s="67"/>
      <c r="C171" s="105"/>
      <c r="E171" s="71"/>
    </row>
    <row r="172" spans="2:3" ht="12.75">
      <c r="B172" s="70"/>
      <c r="C172" s="70"/>
    </row>
    <row r="173" ht="12.75">
      <c r="C173" s="68"/>
    </row>
    <row r="174" spans="2:5" ht="12.75">
      <c r="B174" s="70"/>
      <c r="E174" s="65"/>
    </row>
    <row r="175" spans="3:7" ht="12.75">
      <c r="C175" s="70"/>
      <c r="G175" s="65"/>
    </row>
    <row r="176" spans="5:7" ht="12.75">
      <c r="E176" s="65"/>
      <c r="G176" s="65"/>
    </row>
    <row r="178" ht="12.75">
      <c r="C178" s="70"/>
    </row>
    <row r="179" ht="12.75">
      <c r="G179" s="65"/>
    </row>
    <row r="181" ht="12.75">
      <c r="C181" s="70"/>
    </row>
    <row r="186" ht="12.75">
      <c r="B186" s="70"/>
    </row>
  </sheetData>
  <sheetProtection/>
  <mergeCells count="6">
    <mergeCell ref="A1:E1"/>
    <mergeCell ref="B3:B5"/>
    <mergeCell ref="C3:C5"/>
    <mergeCell ref="D3:D5"/>
    <mergeCell ref="E3:E5"/>
    <mergeCell ref="A3:A5"/>
  </mergeCells>
  <printOptions horizontalCentered="1"/>
  <pageMargins left="1.1811023622047245" right="0.3937007874015748" top="0.7874015748031497" bottom="0.7874015748031497" header="0.03937007874015748" footer="0"/>
  <pageSetup fitToHeight="3" horizontalDpi="600" verticalDpi="600" orientation="portrait" paperSize="9" scale="75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showZeros="0" zoomScale="90" zoomScaleNormal="90" zoomScaleSheetLayoutView="85" zoomScalePageLayoutView="0" workbookViewId="0" topLeftCell="A1">
      <selection activeCell="A3" sqref="A3:A5"/>
    </sheetView>
  </sheetViews>
  <sheetFormatPr defaultColWidth="9.00390625" defaultRowHeight="12.75"/>
  <cols>
    <col min="1" max="1" width="96.375" style="254" customWidth="1"/>
    <col min="2" max="2" width="12.00390625" style="254" bestFit="1" customWidth="1"/>
    <col min="3" max="3" width="9.875" style="254" customWidth="1"/>
    <col min="4" max="4" width="9.875" style="254" bestFit="1" customWidth="1"/>
    <col min="5" max="6" width="11.375" style="254" customWidth="1"/>
    <col min="7" max="7" width="12.375" style="254" customWidth="1"/>
    <col min="8" max="8" width="0.6171875" style="254" hidden="1" customWidth="1"/>
    <col min="9" max="9" width="9.125" style="254" customWidth="1"/>
    <col min="10" max="10" width="11.625" style="254" bestFit="1" customWidth="1"/>
    <col min="11" max="16384" width="9.125" style="254" customWidth="1"/>
  </cols>
  <sheetData>
    <row r="1" spans="1:8" ht="12.75">
      <c r="A1" s="253" t="s">
        <v>340</v>
      </c>
      <c r="B1" s="253"/>
      <c r="C1" s="253"/>
      <c r="D1" s="253"/>
      <c r="E1" s="253"/>
      <c r="F1" s="253"/>
      <c r="G1" s="253"/>
      <c r="H1" s="253"/>
    </row>
    <row r="2" spans="5:10" ht="13.5" thickBot="1">
      <c r="E2" s="255"/>
      <c r="G2" s="256" t="s">
        <v>119</v>
      </c>
      <c r="I2" s="257"/>
      <c r="J2" s="257"/>
    </row>
    <row r="3" spans="1:10" ht="13.5" customHeight="1">
      <c r="A3" s="258" t="s">
        <v>52</v>
      </c>
      <c r="B3" s="258" t="s">
        <v>107</v>
      </c>
      <c r="C3" s="259"/>
      <c r="D3" s="260" t="s">
        <v>2</v>
      </c>
      <c r="E3" s="261" t="s">
        <v>207</v>
      </c>
      <c r="F3" s="262"/>
      <c r="G3" s="260" t="s">
        <v>344</v>
      </c>
      <c r="H3" s="263"/>
      <c r="I3" s="257"/>
      <c r="J3" s="257"/>
    </row>
    <row r="4" spans="1:10" ht="38.25" customHeight="1" thickBot="1">
      <c r="A4" s="264"/>
      <c r="B4" s="265"/>
      <c r="C4" s="266"/>
      <c r="D4" s="267"/>
      <c r="E4" s="268"/>
      <c r="F4" s="269"/>
      <c r="G4" s="267"/>
      <c r="H4" s="270"/>
      <c r="I4" s="257"/>
      <c r="J4" s="257"/>
    </row>
    <row r="5" spans="1:10" ht="40.5" customHeight="1" thickBot="1">
      <c r="A5" s="271"/>
      <c r="B5" s="272" t="s">
        <v>298</v>
      </c>
      <c r="C5" s="272" t="s">
        <v>341</v>
      </c>
      <c r="D5" s="273"/>
      <c r="E5" s="274" t="s">
        <v>342</v>
      </c>
      <c r="F5" s="274" t="s">
        <v>343</v>
      </c>
      <c r="G5" s="274" t="s">
        <v>19</v>
      </c>
      <c r="H5" s="275" t="s">
        <v>18</v>
      </c>
      <c r="I5" s="257"/>
      <c r="J5" s="257"/>
    </row>
    <row r="6" spans="1:10" ht="13.5" hidden="1" thickBot="1">
      <c r="A6" s="276" t="s">
        <v>7</v>
      </c>
      <c r="B6" s="277"/>
      <c r="C6" s="277"/>
      <c r="D6" s="278"/>
      <c r="E6" s="279" t="s">
        <v>3</v>
      </c>
      <c r="F6" s="280"/>
      <c r="G6" s="278"/>
      <c r="H6" s="281"/>
      <c r="J6" s="257"/>
    </row>
    <row r="7" spans="1:10" ht="18.75" customHeight="1" hidden="1">
      <c r="A7" s="282" t="s">
        <v>11</v>
      </c>
      <c r="B7" s="283">
        <v>0</v>
      </c>
      <c r="C7" s="284">
        <v>0</v>
      </c>
      <c r="D7" s="284">
        <v>0.008</v>
      </c>
      <c r="E7" s="285">
        <v>0</v>
      </c>
      <c r="F7" s="286">
        <v>0</v>
      </c>
      <c r="G7" s="287">
        <f>D7-B7</f>
        <v>0.008</v>
      </c>
      <c r="H7" s="288" t="e">
        <f>G7/C7*100</f>
        <v>#DIV/0!</v>
      </c>
      <c r="I7" s="257"/>
      <c r="J7" s="289"/>
    </row>
    <row r="8" spans="1:8" ht="29.25" customHeight="1" hidden="1">
      <c r="A8" s="290" t="s">
        <v>212</v>
      </c>
      <c r="B8" s="291"/>
      <c r="C8" s="292"/>
      <c r="D8" s="292">
        <v>0</v>
      </c>
      <c r="E8" s="293" t="e">
        <f>D8/B8*100</f>
        <v>#DIV/0!</v>
      </c>
      <c r="F8" s="286" t="e">
        <f>D8/C8*100</f>
        <v>#DIV/0!</v>
      </c>
      <c r="G8" s="294">
        <f aca="true" t="shared" si="0" ref="G8:G15">D8-C8</f>
        <v>0</v>
      </c>
      <c r="H8" s="288">
        <v>0</v>
      </c>
    </row>
    <row r="9" spans="1:8" ht="18" customHeight="1" hidden="1">
      <c r="A9" s="295"/>
      <c r="B9" s="257"/>
      <c r="C9" s="257"/>
      <c r="D9" s="257"/>
      <c r="E9" s="257"/>
      <c r="F9" s="286" t="e">
        <f>D9/C9*100</f>
        <v>#DIV/0!</v>
      </c>
      <c r="G9" s="294">
        <f t="shared" si="0"/>
        <v>0</v>
      </c>
      <c r="H9" s="288" t="e">
        <f aca="true" t="shared" si="1" ref="H9:H42">G9/C9*100</f>
        <v>#DIV/0!</v>
      </c>
    </row>
    <row r="10" spans="1:8" s="457" customFormat="1" ht="30" customHeight="1">
      <c r="A10" s="290" t="s">
        <v>278</v>
      </c>
      <c r="B10" s="481">
        <v>38.58</v>
      </c>
      <c r="C10" s="482">
        <v>19.29</v>
      </c>
      <c r="D10" s="481">
        <v>19.29</v>
      </c>
      <c r="E10" s="483">
        <f>D10/B10*100</f>
        <v>50</v>
      </c>
      <c r="F10" s="484">
        <f>D10/C10*100</f>
        <v>100</v>
      </c>
      <c r="G10" s="485">
        <f t="shared" si="0"/>
        <v>0</v>
      </c>
      <c r="H10" s="456">
        <f t="shared" si="1"/>
        <v>0</v>
      </c>
    </row>
    <row r="11" spans="1:8" s="457" customFormat="1" ht="12.75">
      <c r="A11" s="290" t="s">
        <v>96</v>
      </c>
      <c r="B11" s="481">
        <v>0</v>
      </c>
      <c r="C11" s="482">
        <f aca="true" t="shared" si="2" ref="C11:C24">B11</f>
        <v>0</v>
      </c>
      <c r="D11" s="481">
        <v>9.08919</v>
      </c>
      <c r="E11" s="483">
        <v>0</v>
      </c>
      <c r="F11" s="484">
        <v>0</v>
      </c>
      <c r="G11" s="485">
        <f t="shared" si="0"/>
        <v>9.08919</v>
      </c>
      <c r="H11" s="456" t="e">
        <f t="shared" si="1"/>
        <v>#DIV/0!</v>
      </c>
    </row>
    <row r="12" spans="1:8" s="457" customFormat="1" ht="12.75" hidden="1">
      <c r="A12" s="290" t="s">
        <v>280</v>
      </c>
      <c r="B12" s="481"/>
      <c r="C12" s="481"/>
      <c r="D12" s="481"/>
      <c r="E12" s="483" t="e">
        <f>D12/B12*100</f>
        <v>#DIV/0!</v>
      </c>
      <c r="F12" s="484" t="e">
        <f>D12/C12*100</f>
        <v>#DIV/0!</v>
      </c>
      <c r="G12" s="485">
        <f t="shared" si="0"/>
        <v>0</v>
      </c>
      <c r="H12" s="456"/>
    </row>
    <row r="13" spans="1:8" s="457" customFormat="1" ht="12.75">
      <c r="A13" s="290" t="s">
        <v>128</v>
      </c>
      <c r="B13" s="481">
        <v>4362.7</v>
      </c>
      <c r="C13" s="482">
        <v>2250.7</v>
      </c>
      <c r="D13" s="481">
        <v>2583.2925</v>
      </c>
      <c r="E13" s="483">
        <f>D13/B13*100</f>
        <v>59.21315928209595</v>
      </c>
      <c r="F13" s="484">
        <f>D13/C13*100</f>
        <v>114.77729150930823</v>
      </c>
      <c r="G13" s="485">
        <f t="shared" si="0"/>
        <v>332.5925000000002</v>
      </c>
      <c r="H13" s="456" t="s">
        <v>10</v>
      </c>
    </row>
    <row r="14" spans="1:8" s="457" customFormat="1" ht="12.75" hidden="1">
      <c r="A14" s="290" t="s">
        <v>11</v>
      </c>
      <c r="B14" s="481">
        <v>0</v>
      </c>
      <c r="C14" s="482">
        <f t="shared" si="2"/>
        <v>0</v>
      </c>
      <c r="D14" s="481">
        <v>0</v>
      </c>
      <c r="E14" s="483">
        <v>0</v>
      </c>
      <c r="F14" s="484">
        <v>0</v>
      </c>
      <c r="G14" s="485">
        <f t="shared" si="0"/>
        <v>0</v>
      </c>
      <c r="H14" s="456" t="e">
        <f t="shared" si="1"/>
        <v>#DIV/0!</v>
      </c>
    </row>
    <row r="15" spans="1:8" s="457" customFormat="1" ht="25.5">
      <c r="A15" s="290" t="s">
        <v>184</v>
      </c>
      <c r="B15" s="481">
        <v>45</v>
      </c>
      <c r="C15" s="482">
        <f>2.3+1.7+1+2.9+2.2+1.6</f>
        <v>11.700000000000001</v>
      </c>
      <c r="D15" s="484">
        <v>82.79202</v>
      </c>
      <c r="E15" s="483">
        <f>D15/B15*100</f>
        <v>183.98226666666665</v>
      </c>
      <c r="F15" s="484">
        <f>D15/C15*100</f>
        <v>707.6241025641025</v>
      </c>
      <c r="G15" s="485">
        <f t="shared" si="0"/>
        <v>71.09201999999999</v>
      </c>
      <c r="H15" s="456">
        <f t="shared" si="1"/>
        <v>607.6241025641024</v>
      </c>
    </row>
    <row r="16" spans="1:8" s="457" customFormat="1" ht="13.5" thickBot="1">
      <c r="A16" s="290" t="s">
        <v>183</v>
      </c>
      <c r="B16" s="481">
        <v>0</v>
      </c>
      <c r="C16" s="482">
        <v>0</v>
      </c>
      <c r="D16" s="481">
        <v>388.37277</v>
      </c>
      <c r="E16" s="483">
        <v>0</v>
      </c>
      <c r="F16" s="484">
        <v>0</v>
      </c>
      <c r="G16" s="485">
        <f>D16-B16</f>
        <v>388.37277</v>
      </c>
      <c r="H16" s="456" t="e">
        <f t="shared" si="1"/>
        <v>#DIV/0!</v>
      </c>
    </row>
    <row r="17" spans="1:8" s="457" customFormat="1" ht="39" hidden="1" thickBot="1">
      <c r="A17" s="458" t="s">
        <v>251</v>
      </c>
      <c r="B17" s="481"/>
      <c r="C17" s="482"/>
      <c r="D17" s="484"/>
      <c r="E17" s="483" t="e">
        <f>D17/B17*100</f>
        <v>#DIV/0!</v>
      </c>
      <c r="F17" s="484" t="e">
        <f>D17/C17*100</f>
        <v>#DIV/0!</v>
      </c>
      <c r="G17" s="485">
        <f>D17-B17</f>
        <v>0</v>
      </c>
      <c r="H17" s="456" t="e">
        <f t="shared" si="1"/>
        <v>#DIV/0!</v>
      </c>
    </row>
    <row r="18" spans="1:8" s="457" customFormat="1" ht="13.5" hidden="1" thickBot="1">
      <c r="A18" s="290" t="s">
        <v>252</v>
      </c>
      <c r="B18" s="481"/>
      <c r="C18" s="482"/>
      <c r="D18" s="484"/>
      <c r="E18" s="483" t="e">
        <f aca="true" t="shared" si="3" ref="E18:E23">D18/B18*100</f>
        <v>#DIV/0!</v>
      </c>
      <c r="F18" s="484" t="e">
        <f>D18/C18*100</f>
        <v>#DIV/0!</v>
      </c>
      <c r="G18" s="485">
        <f>D18-B18</f>
        <v>0</v>
      </c>
      <c r="H18" s="456" t="e">
        <f t="shared" si="1"/>
        <v>#DIV/0!</v>
      </c>
    </row>
    <row r="19" spans="1:8" s="457" customFormat="1" ht="13.5" hidden="1" thickBot="1">
      <c r="A19" s="290" t="s">
        <v>13</v>
      </c>
      <c r="B19" s="484">
        <f>B20+B21</f>
        <v>0</v>
      </c>
      <c r="C19" s="482">
        <f t="shared" si="2"/>
        <v>0</v>
      </c>
      <c r="D19" s="484">
        <f>D20+D21</f>
        <v>0</v>
      </c>
      <c r="E19" s="483" t="e">
        <f t="shared" si="3"/>
        <v>#DIV/0!</v>
      </c>
      <c r="F19" s="484" t="s">
        <v>216</v>
      </c>
      <c r="G19" s="486">
        <f aca="true" t="shared" si="4" ref="G19:G42">D19-B19</f>
        <v>0</v>
      </c>
      <c r="H19" s="456" t="e">
        <f t="shared" si="1"/>
        <v>#DIV/0!</v>
      </c>
    </row>
    <row r="20" spans="1:8" s="457" customFormat="1" ht="13.5" hidden="1" thickBot="1">
      <c r="A20" s="290" t="s">
        <v>15</v>
      </c>
      <c r="B20" s="481"/>
      <c r="C20" s="482">
        <f t="shared" si="2"/>
        <v>0</v>
      </c>
      <c r="D20" s="484"/>
      <c r="E20" s="483" t="e">
        <f t="shared" si="3"/>
        <v>#DIV/0!</v>
      </c>
      <c r="F20" s="484" t="s">
        <v>217</v>
      </c>
      <c r="G20" s="486">
        <f t="shared" si="4"/>
        <v>0</v>
      </c>
      <c r="H20" s="456" t="e">
        <f t="shared" si="1"/>
        <v>#DIV/0!</v>
      </c>
    </row>
    <row r="21" spans="1:8" s="457" customFormat="1" ht="13.5" hidden="1" thickBot="1">
      <c r="A21" s="290" t="s">
        <v>49</v>
      </c>
      <c r="B21" s="481"/>
      <c r="C21" s="482">
        <f t="shared" si="2"/>
        <v>0</v>
      </c>
      <c r="D21" s="484"/>
      <c r="E21" s="483" t="e">
        <f t="shared" si="3"/>
        <v>#DIV/0!</v>
      </c>
      <c r="F21" s="484" t="s">
        <v>218</v>
      </c>
      <c r="G21" s="486">
        <f t="shared" si="4"/>
        <v>0</v>
      </c>
      <c r="H21" s="456" t="e">
        <f t="shared" si="1"/>
        <v>#DIV/0!</v>
      </c>
    </row>
    <row r="22" spans="1:8" s="457" customFormat="1" ht="26.25" hidden="1" thickBot="1">
      <c r="A22" s="290" t="s">
        <v>40</v>
      </c>
      <c r="B22" s="487"/>
      <c r="C22" s="482">
        <f t="shared" si="2"/>
        <v>0</v>
      </c>
      <c r="D22" s="488"/>
      <c r="E22" s="483" t="e">
        <f t="shared" si="3"/>
        <v>#DIV/0!</v>
      </c>
      <c r="F22" s="484" t="s">
        <v>219</v>
      </c>
      <c r="G22" s="486">
        <f t="shared" si="4"/>
        <v>0</v>
      </c>
      <c r="H22" s="456" t="e">
        <f t="shared" si="1"/>
        <v>#DIV/0!</v>
      </c>
    </row>
    <row r="23" spans="1:8" s="457" customFormat="1" ht="13.5" hidden="1" thickBot="1">
      <c r="A23" s="460" t="s">
        <v>6</v>
      </c>
      <c r="B23" s="489"/>
      <c r="C23" s="482">
        <f t="shared" si="2"/>
        <v>0</v>
      </c>
      <c r="D23" s="488"/>
      <c r="E23" s="483" t="e">
        <f t="shared" si="3"/>
        <v>#DIV/0!</v>
      </c>
      <c r="F23" s="484" t="s">
        <v>220</v>
      </c>
      <c r="G23" s="486">
        <f t="shared" si="4"/>
        <v>0</v>
      </c>
      <c r="H23" s="456" t="e">
        <f t="shared" si="1"/>
        <v>#DIV/0!</v>
      </c>
    </row>
    <row r="24" spans="1:8" s="457" customFormat="1" ht="13.5" hidden="1" thickBot="1">
      <c r="A24" s="458" t="s">
        <v>30</v>
      </c>
      <c r="B24" s="487"/>
      <c r="C24" s="482">
        <f t="shared" si="2"/>
        <v>0</v>
      </c>
      <c r="D24" s="488"/>
      <c r="E24" s="490">
        <v>0</v>
      </c>
      <c r="F24" s="488" t="s">
        <v>221</v>
      </c>
      <c r="G24" s="491">
        <f t="shared" si="4"/>
        <v>0</v>
      </c>
      <c r="H24" s="461" t="e">
        <f t="shared" si="1"/>
        <v>#DIV/0!</v>
      </c>
    </row>
    <row r="25" spans="1:10" s="465" customFormat="1" ht="13.5" thickBot="1">
      <c r="A25" s="462" t="s">
        <v>92</v>
      </c>
      <c r="B25" s="492">
        <f>B8+B10+B11+B13+B14+B15+B16+B17+B18+B12</f>
        <v>4446.28</v>
      </c>
      <c r="C25" s="492">
        <f>C8+C10+C11+C13+C14+C15+C16+C17+C18+C12</f>
        <v>2281.6899999999996</v>
      </c>
      <c r="D25" s="492">
        <f>D8+D10+D11+D13+D14+D15+D16+D17+D18+D12</f>
        <v>3082.83648</v>
      </c>
      <c r="E25" s="493">
        <f>D25/B25*100</f>
        <v>69.33518536844284</v>
      </c>
      <c r="F25" s="493">
        <f>D25/C25*100</f>
        <v>135.11197752543075</v>
      </c>
      <c r="G25" s="494">
        <f>D25-C25</f>
        <v>801.1464800000003</v>
      </c>
      <c r="H25" s="464">
        <f>G25/C25*100</f>
        <v>35.11197752543073</v>
      </c>
      <c r="J25" s="466"/>
    </row>
    <row r="26" spans="1:10" s="457" customFormat="1" ht="17.25" customHeight="1" thickBot="1">
      <c r="A26" s="467" t="s">
        <v>8</v>
      </c>
      <c r="B26" s="495">
        <v>160613.13498</v>
      </c>
      <c r="C26" s="496" t="s">
        <v>10</v>
      </c>
      <c r="D26" s="497">
        <v>84959.27682</v>
      </c>
      <c r="E26" s="498" t="s">
        <v>10</v>
      </c>
      <c r="F26" s="499" t="s">
        <v>10</v>
      </c>
      <c r="G26" s="500" t="s">
        <v>10</v>
      </c>
      <c r="H26" s="468" t="s">
        <v>10</v>
      </c>
      <c r="I26" s="469"/>
      <c r="J26" s="470"/>
    </row>
    <row r="27" spans="1:8" s="465" customFormat="1" ht="18" customHeight="1" thickBot="1">
      <c r="A27" s="462" t="s">
        <v>31</v>
      </c>
      <c r="B27" s="492">
        <f>B25+B26</f>
        <v>165059.41498</v>
      </c>
      <c r="C27" s="492">
        <f>C25</f>
        <v>2281.6899999999996</v>
      </c>
      <c r="D27" s="492">
        <f>D25+D26</f>
        <v>88042.1133</v>
      </c>
      <c r="E27" s="501">
        <f aca="true" t="shared" si="5" ref="E27:E42">D27/B27*100</f>
        <v>53.33964942906645</v>
      </c>
      <c r="F27" s="502" t="s">
        <v>10</v>
      </c>
      <c r="G27" s="494" t="s">
        <v>10</v>
      </c>
      <c r="H27" s="464" t="e">
        <f t="shared" si="1"/>
        <v>#VALUE!</v>
      </c>
    </row>
    <row r="28" spans="1:10" s="457" customFormat="1" ht="27.75" customHeight="1">
      <c r="A28" s="472" t="s">
        <v>146</v>
      </c>
      <c r="B28" s="503">
        <v>242391.38479</v>
      </c>
      <c r="C28" s="503">
        <v>153088.93069</v>
      </c>
      <c r="D28" s="503">
        <v>84602.18246</v>
      </c>
      <c r="E28" s="474" t="s">
        <v>10</v>
      </c>
      <c r="F28" s="503">
        <f aca="true" t="shared" si="6" ref="F28:F34">D28/C28*100</f>
        <v>55.26342242948748</v>
      </c>
      <c r="G28" s="504">
        <f>D28-C28</f>
        <v>-68486.74823000001</v>
      </c>
      <c r="H28" s="476">
        <f t="shared" si="1"/>
        <v>-44.73657757051252</v>
      </c>
      <c r="J28" s="470"/>
    </row>
    <row r="29" spans="1:10" s="457" customFormat="1" ht="39" thickBot="1">
      <c r="A29" s="290" t="s">
        <v>227</v>
      </c>
      <c r="B29" s="481">
        <v>398952.6</v>
      </c>
      <c r="C29" s="503">
        <v>180719.9</v>
      </c>
      <c r="D29" s="481">
        <v>180719.9</v>
      </c>
      <c r="E29" s="477" t="s">
        <v>10</v>
      </c>
      <c r="F29" s="481">
        <f t="shared" si="6"/>
        <v>100</v>
      </c>
      <c r="G29" s="504">
        <f>D29-C29</f>
        <v>0</v>
      </c>
      <c r="H29" s="476"/>
      <c r="J29" s="470"/>
    </row>
    <row r="30" spans="1:10" s="457" customFormat="1" ht="13.5" hidden="1" thickBot="1">
      <c r="A30" s="290" t="s">
        <v>281</v>
      </c>
      <c r="B30" s="481"/>
      <c r="C30" s="503"/>
      <c r="D30" s="481"/>
      <c r="E30" s="477" t="e">
        <f>D30/B30*100</f>
        <v>#DIV/0!</v>
      </c>
      <c r="F30" s="455" t="e">
        <f t="shared" si="6"/>
        <v>#DIV/0!</v>
      </c>
      <c r="G30" s="475">
        <f>D30-B30</f>
        <v>0</v>
      </c>
      <c r="H30" s="476"/>
      <c r="J30" s="470"/>
    </row>
    <row r="31" spans="1:10" s="457" customFormat="1" ht="13.5" hidden="1" thickBot="1">
      <c r="A31" s="290" t="s">
        <v>268</v>
      </c>
      <c r="B31" s="481"/>
      <c r="C31" s="503"/>
      <c r="D31" s="481"/>
      <c r="E31" s="477" t="e">
        <f>D31/B31*100</f>
        <v>#DIV/0!</v>
      </c>
      <c r="F31" s="455" t="e">
        <f t="shared" si="6"/>
        <v>#DIV/0!</v>
      </c>
      <c r="G31" s="475">
        <f>D31-B31</f>
        <v>0</v>
      </c>
      <c r="H31" s="476"/>
      <c r="J31" s="470"/>
    </row>
    <row r="32" spans="1:10" s="457" customFormat="1" ht="39" hidden="1" thickBot="1">
      <c r="A32" s="478" t="s">
        <v>269</v>
      </c>
      <c r="B32" s="505"/>
      <c r="C32" s="503"/>
      <c r="D32" s="505"/>
      <c r="E32" s="477" t="e">
        <f>D32/B32*100</f>
        <v>#DIV/0!</v>
      </c>
      <c r="F32" s="455" t="e">
        <f t="shared" si="6"/>
        <v>#DIV/0!</v>
      </c>
      <c r="G32" s="475">
        <f>D32-B32</f>
        <v>0</v>
      </c>
      <c r="H32" s="476"/>
      <c r="J32" s="470"/>
    </row>
    <row r="33" spans="1:10" s="457" customFormat="1" ht="13.5" hidden="1" thickBot="1">
      <c r="A33" s="290" t="s">
        <v>228</v>
      </c>
      <c r="B33" s="481"/>
      <c r="C33" s="503"/>
      <c r="D33" s="481"/>
      <c r="E33" s="477" t="e">
        <f t="shared" si="5"/>
        <v>#DIV/0!</v>
      </c>
      <c r="F33" s="473" t="e">
        <f t="shared" si="6"/>
        <v>#DIV/0!</v>
      </c>
      <c r="G33" s="475">
        <f>D33-B33</f>
        <v>0</v>
      </c>
      <c r="H33" s="476"/>
      <c r="J33" s="470"/>
    </row>
    <row r="34" spans="1:10" s="457" customFormat="1" ht="13.5" hidden="1" thickBot="1">
      <c r="A34" s="458" t="s">
        <v>239</v>
      </c>
      <c r="B34" s="487"/>
      <c r="C34" s="503"/>
      <c r="D34" s="487"/>
      <c r="E34" s="479" t="e">
        <f t="shared" si="5"/>
        <v>#DIV/0!</v>
      </c>
      <c r="F34" s="459" t="e">
        <f t="shared" si="6"/>
        <v>#DIV/0!</v>
      </c>
      <c r="G34" s="475">
        <f>D34-B34</f>
        <v>0</v>
      </c>
      <c r="H34" s="476"/>
      <c r="J34" s="470"/>
    </row>
    <row r="35" spans="1:8" s="465" customFormat="1" ht="24" customHeight="1" thickBot="1">
      <c r="A35" s="462" t="s">
        <v>142</v>
      </c>
      <c r="B35" s="492">
        <f>B27+B28+B33+B34+B29+B31+B32+B30</f>
        <v>806403.39977</v>
      </c>
      <c r="C35" s="492">
        <f>C27+C28+C33+C34+C29+C31+C32+C30</f>
        <v>336090.52069000003</v>
      </c>
      <c r="D35" s="492">
        <f>D27+D28+D33+D34+D29+D31+D32+D30</f>
        <v>353364.19576000003</v>
      </c>
      <c r="E35" s="493">
        <f>D35/B35*100</f>
        <v>43.81978000846543</v>
      </c>
      <c r="F35" s="471" t="s">
        <v>10</v>
      </c>
      <c r="G35" s="463" t="s">
        <v>10</v>
      </c>
      <c r="H35" s="480" t="e">
        <f>G35/C35*100</f>
        <v>#VALUE!</v>
      </c>
    </row>
    <row r="36" spans="1:8" ht="12.75" hidden="1">
      <c r="A36" s="296" t="s">
        <v>164</v>
      </c>
      <c r="B36" s="291"/>
      <c r="C36" s="291"/>
      <c r="D36" s="291"/>
      <c r="E36" s="310" t="e">
        <f t="shared" si="5"/>
        <v>#DIV/0!</v>
      </c>
      <c r="F36" s="292" t="e">
        <f>D36/C36*100</f>
        <v>#DIV/0!</v>
      </c>
      <c r="G36" s="308">
        <f t="shared" si="4"/>
        <v>0</v>
      </c>
      <c r="H36" s="309" t="e">
        <f>G36/C36*100</f>
        <v>#DIV/0!</v>
      </c>
    </row>
    <row r="37" spans="1:8" ht="40.5" customHeight="1" hidden="1">
      <c r="A37" s="311" t="s">
        <v>1</v>
      </c>
      <c r="B37" s="297"/>
      <c r="C37" s="297"/>
      <c r="D37" s="297"/>
      <c r="E37" s="310" t="e">
        <f t="shared" si="5"/>
        <v>#DIV/0!</v>
      </c>
      <c r="F37" s="292" t="e">
        <f>D37/C37*100</f>
        <v>#DIV/0!</v>
      </c>
      <c r="G37" s="308">
        <f t="shared" si="4"/>
        <v>0</v>
      </c>
      <c r="H37" s="288" t="e">
        <f t="shared" si="1"/>
        <v>#DIV/0!</v>
      </c>
    </row>
    <row r="38" spans="1:8" ht="51.75" customHeight="1" hidden="1">
      <c r="A38" s="312" t="s">
        <v>97</v>
      </c>
      <c r="B38" s="297"/>
      <c r="C38" s="297"/>
      <c r="D38" s="297"/>
      <c r="E38" s="310" t="e">
        <f t="shared" si="5"/>
        <v>#DIV/0!</v>
      </c>
      <c r="F38" s="292" t="e">
        <f>D38/C38*100</f>
        <v>#DIV/0!</v>
      </c>
      <c r="G38" s="308">
        <f t="shared" si="4"/>
        <v>0</v>
      </c>
      <c r="H38" s="288" t="e">
        <f t="shared" si="1"/>
        <v>#DIV/0!</v>
      </c>
    </row>
    <row r="39" spans="1:8" ht="27" customHeight="1" hidden="1">
      <c r="A39" s="296" t="s">
        <v>130</v>
      </c>
      <c r="B39" s="297"/>
      <c r="C39" s="297"/>
      <c r="D39" s="297"/>
      <c r="E39" s="310" t="e">
        <f t="shared" si="5"/>
        <v>#DIV/0!</v>
      </c>
      <c r="F39" s="292" t="e">
        <f>D39/C39*100</f>
        <v>#DIV/0!</v>
      </c>
      <c r="G39" s="308">
        <f t="shared" si="4"/>
        <v>0</v>
      </c>
      <c r="H39" s="288" t="e">
        <f t="shared" si="1"/>
        <v>#DIV/0!</v>
      </c>
    </row>
    <row r="40" spans="1:8" ht="28.5" customHeight="1" hidden="1">
      <c r="A40" s="313" t="s">
        <v>129</v>
      </c>
      <c r="B40" s="314"/>
      <c r="C40" s="314"/>
      <c r="D40" s="314"/>
      <c r="E40" s="310" t="e">
        <f t="shared" si="5"/>
        <v>#DIV/0!</v>
      </c>
      <c r="F40" s="292" t="e">
        <f>D40/C40*100</f>
        <v>#DIV/0!</v>
      </c>
      <c r="G40" s="315">
        <f t="shared" si="4"/>
        <v>0</v>
      </c>
      <c r="H40" s="288" t="e">
        <f t="shared" si="1"/>
        <v>#DIV/0!</v>
      </c>
    </row>
    <row r="41" spans="1:8" ht="12.75" hidden="1">
      <c r="A41" s="296" t="s">
        <v>158</v>
      </c>
      <c r="B41" s="316"/>
      <c r="C41" s="316"/>
      <c r="D41" s="316"/>
      <c r="E41" s="317" t="e">
        <f t="shared" si="5"/>
        <v>#DIV/0!</v>
      </c>
      <c r="F41" s="298" t="e">
        <f>D41/B41*100</f>
        <v>#DIV/0!</v>
      </c>
      <c r="G41" s="299">
        <f t="shared" si="4"/>
        <v>0</v>
      </c>
      <c r="H41" s="300" t="e">
        <f t="shared" si="1"/>
        <v>#DIV/0!</v>
      </c>
    </row>
    <row r="42" spans="1:8" s="305" customFormat="1" ht="23.25" customHeight="1" hidden="1" thickBot="1">
      <c r="A42" s="318" t="s">
        <v>190</v>
      </c>
      <c r="B42" s="301">
        <f>B27+B28+B37+B38+B39+B40+B41+B36</f>
        <v>407450.79977000004</v>
      </c>
      <c r="C42" s="301">
        <f>C27+C28+C37+C38+C39+C40+C41+C36</f>
        <v>155370.62069</v>
      </c>
      <c r="D42" s="301">
        <f>D27+D28+D37+D38+D39+D40+D41+D36</f>
        <v>172644.29576</v>
      </c>
      <c r="E42" s="302">
        <f t="shared" si="5"/>
        <v>42.37181418160307</v>
      </c>
      <c r="F42" s="307" t="s">
        <v>10</v>
      </c>
      <c r="G42" s="303">
        <f t="shared" si="4"/>
        <v>-234806.50401000003</v>
      </c>
      <c r="H42" s="304">
        <f t="shared" si="1"/>
        <v>-151.12670784684116</v>
      </c>
    </row>
    <row r="46" spans="1:7" ht="12.75">
      <c r="A46" s="319" t="s">
        <v>144</v>
      </c>
      <c r="B46" s="319"/>
      <c r="C46" s="319"/>
      <c r="D46" s="319"/>
      <c r="E46" s="319"/>
      <c r="F46" s="319"/>
      <c r="G46" s="319"/>
    </row>
    <row r="47" spans="1:7" ht="12.75">
      <c r="A47" s="254" t="s">
        <v>145</v>
      </c>
      <c r="G47" s="255" t="s">
        <v>267</v>
      </c>
    </row>
    <row r="48" spans="1:7" ht="12.75" hidden="1">
      <c r="A48" s="320" t="s">
        <v>263</v>
      </c>
      <c r="B48" s="320"/>
      <c r="C48" s="321"/>
      <c r="D48" s="321"/>
      <c r="E48" s="321"/>
      <c r="F48" s="321"/>
      <c r="G48" s="321"/>
    </row>
    <row r="49" spans="1:7" ht="12.75" hidden="1">
      <c r="A49" s="320" t="s">
        <v>264</v>
      </c>
      <c r="B49" s="320"/>
      <c r="C49" s="321"/>
      <c r="D49" s="320"/>
      <c r="E49" s="321"/>
      <c r="F49" s="320"/>
      <c r="G49" s="322"/>
    </row>
    <row r="50" spans="1:7" ht="12.75" hidden="1">
      <c r="A50" s="320" t="s">
        <v>265</v>
      </c>
      <c r="B50" s="320"/>
      <c r="C50" s="321"/>
      <c r="D50" s="321"/>
      <c r="E50" s="321"/>
      <c r="F50" s="321"/>
      <c r="G50" s="321" t="s">
        <v>266</v>
      </c>
    </row>
    <row r="52" spans="2:4" ht="12.75">
      <c r="B52" s="323"/>
      <c r="D52" s="306"/>
    </row>
    <row r="53" spans="2:4" ht="12.75">
      <c r="B53" s="323"/>
      <c r="C53" s="323"/>
      <c r="D53" s="323"/>
    </row>
    <row r="54" ht="12.75">
      <c r="B54" s="323"/>
    </row>
    <row r="59" spans="4:9" ht="12.75">
      <c r="D59" s="323"/>
      <c r="G59" s="323"/>
      <c r="I59" s="323"/>
    </row>
    <row r="61" ht="12.75">
      <c r="D61" s="323"/>
    </row>
  </sheetData>
  <sheetProtection/>
  <mergeCells count="6">
    <mergeCell ref="A1:H1"/>
    <mergeCell ref="D3:D5"/>
    <mergeCell ref="A3:A5"/>
    <mergeCell ref="G3:G4"/>
    <mergeCell ref="B3:C4"/>
    <mergeCell ref="E3:F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showZeros="0" zoomScale="70" zoomScaleNormal="70" zoomScalePageLayoutView="0" workbookViewId="0" topLeftCell="A1">
      <selection activeCell="A7" sqref="A7:A10"/>
    </sheetView>
  </sheetViews>
  <sheetFormatPr defaultColWidth="9.00390625" defaultRowHeight="12.75"/>
  <cols>
    <col min="1" max="1" width="135.875" style="69" customWidth="1"/>
    <col min="2" max="3" width="14.625" style="69" customWidth="1"/>
    <col min="4" max="4" width="18.75390625" style="69" customWidth="1"/>
    <col min="5" max="5" width="12.625" style="69" customWidth="1"/>
    <col min="6" max="6" width="13.625" style="69" customWidth="1"/>
    <col min="7" max="7" width="15.125" style="69" customWidth="1"/>
    <col min="8" max="8" width="16.625" style="69" customWidth="1"/>
    <col min="9" max="16384" width="9.125" style="69" customWidth="1"/>
  </cols>
  <sheetData>
    <row r="2" spans="1:8" ht="12.75" customHeight="1">
      <c r="A2" s="208" t="s">
        <v>354</v>
      </c>
      <c r="B2" s="208"/>
      <c r="C2" s="208"/>
      <c r="D2" s="208"/>
      <c r="E2" s="208"/>
      <c r="F2" s="208"/>
      <c r="G2" s="208"/>
      <c r="H2" s="208"/>
    </row>
    <row r="3" spans="1:8" ht="12.75" customHeight="1">
      <c r="A3" s="208"/>
      <c r="B3" s="208"/>
      <c r="C3" s="208"/>
      <c r="D3" s="208"/>
      <c r="E3" s="208"/>
      <c r="F3" s="208"/>
      <c r="G3" s="208"/>
      <c r="H3" s="208"/>
    </row>
    <row r="5" ht="12.75" hidden="1">
      <c r="G5" s="7"/>
    </row>
    <row r="6" spans="8:9" ht="13.5" thickBot="1">
      <c r="H6" s="154" t="s">
        <v>119</v>
      </c>
      <c r="I6" s="155"/>
    </row>
    <row r="7" spans="1:10" s="34" customFormat="1" ht="12.75" customHeight="1">
      <c r="A7" s="213" t="s">
        <v>54</v>
      </c>
      <c r="B7" s="181" t="s">
        <v>4</v>
      </c>
      <c r="C7" s="218"/>
      <c r="D7" s="218"/>
      <c r="E7" s="218"/>
      <c r="F7" s="218"/>
      <c r="G7" s="218"/>
      <c r="H7" s="219"/>
      <c r="I7" s="146"/>
      <c r="J7" s="146"/>
    </row>
    <row r="8" spans="1:10" s="34" customFormat="1" ht="13.5" customHeight="1" thickBot="1">
      <c r="A8" s="214"/>
      <c r="B8" s="220"/>
      <c r="C8" s="221"/>
      <c r="D8" s="221"/>
      <c r="E8" s="221"/>
      <c r="F8" s="221"/>
      <c r="G8" s="221"/>
      <c r="H8" s="222"/>
      <c r="I8" s="146"/>
      <c r="J8" s="146"/>
    </row>
    <row r="9" spans="1:10" s="34" customFormat="1" ht="42" customHeight="1" thickBot="1">
      <c r="A9" s="214"/>
      <c r="B9" s="216" t="s">
        <v>107</v>
      </c>
      <c r="C9" s="217"/>
      <c r="D9" s="209" t="s">
        <v>12</v>
      </c>
      <c r="E9" s="211" t="s">
        <v>57</v>
      </c>
      <c r="F9" s="216" t="s">
        <v>108</v>
      </c>
      <c r="G9" s="217"/>
      <c r="H9" s="103" t="s">
        <v>90</v>
      </c>
      <c r="I9" s="146"/>
      <c r="J9" s="146"/>
    </row>
    <row r="10" spans="1:10" s="34" customFormat="1" ht="51.75" customHeight="1" thickBot="1">
      <c r="A10" s="215"/>
      <c r="B10" s="156" t="s">
        <v>303</v>
      </c>
      <c r="C10" s="156" t="s">
        <v>341</v>
      </c>
      <c r="D10" s="210"/>
      <c r="E10" s="212"/>
      <c r="F10" s="156" t="s">
        <v>303</v>
      </c>
      <c r="G10" s="156" t="s">
        <v>341</v>
      </c>
      <c r="H10" s="72" t="s">
        <v>355</v>
      </c>
      <c r="I10" s="146"/>
      <c r="J10" s="146"/>
    </row>
    <row r="11" spans="1:10" s="34" customFormat="1" ht="18">
      <c r="A11" s="116" t="s">
        <v>214</v>
      </c>
      <c r="B11" s="427">
        <v>6332.28193</v>
      </c>
      <c r="C11" s="428">
        <v>4186.98193</v>
      </c>
      <c r="D11" s="428">
        <v>74</v>
      </c>
      <c r="E11" s="428">
        <v>74</v>
      </c>
      <c r="F11" s="429">
        <f>D11/B11*100</f>
        <v>1.168615055647088</v>
      </c>
      <c r="G11" s="430">
        <f aca="true" t="shared" si="0" ref="G11:G17">D11/C11*100</f>
        <v>1.767382836543553</v>
      </c>
      <c r="H11" s="431">
        <f>E11/C11*100</f>
        <v>1.767382836543553</v>
      </c>
      <c r="I11" s="146"/>
      <c r="J11" s="146"/>
    </row>
    <row r="12" spans="1:10" s="38" customFormat="1" ht="36" hidden="1">
      <c r="A12" s="106" t="s">
        <v>292</v>
      </c>
      <c r="B12" s="432"/>
      <c r="C12" s="433"/>
      <c r="D12" s="434"/>
      <c r="E12" s="434"/>
      <c r="F12" s="435" t="e">
        <f aca="true" t="shared" si="1" ref="F12:F34">D12/B12*100</f>
        <v>#DIV/0!</v>
      </c>
      <c r="G12" s="434" t="e">
        <f t="shared" si="0"/>
        <v>#DIV/0!</v>
      </c>
      <c r="H12" s="436" t="e">
        <f aca="true" t="shared" si="2" ref="H12:H35">E12/C12*100</f>
        <v>#DIV/0!</v>
      </c>
      <c r="I12" s="157"/>
      <c r="J12" s="157"/>
    </row>
    <row r="13" spans="1:10" s="34" customFormat="1" ht="36">
      <c r="A13" s="110" t="s">
        <v>318</v>
      </c>
      <c r="B13" s="437">
        <v>6150</v>
      </c>
      <c r="C13" s="428">
        <f>B13</f>
        <v>6150</v>
      </c>
      <c r="D13" s="430">
        <v>0</v>
      </c>
      <c r="E13" s="430">
        <v>0</v>
      </c>
      <c r="F13" s="429">
        <f>D13/B13*100</f>
        <v>0</v>
      </c>
      <c r="G13" s="430">
        <f t="shared" si="0"/>
        <v>0</v>
      </c>
      <c r="H13" s="431">
        <f>E13/C13*100</f>
        <v>0</v>
      </c>
      <c r="I13" s="146"/>
      <c r="J13" s="146"/>
    </row>
    <row r="14" spans="1:10" s="34" customFormat="1" ht="36">
      <c r="A14" s="110" t="s">
        <v>293</v>
      </c>
      <c r="B14" s="437">
        <v>1410</v>
      </c>
      <c r="C14" s="428">
        <v>1410</v>
      </c>
      <c r="D14" s="430">
        <v>156.7164</v>
      </c>
      <c r="E14" s="430">
        <f>D14</f>
        <v>156.7164</v>
      </c>
      <c r="F14" s="429">
        <f t="shared" si="1"/>
        <v>11.11463829787234</v>
      </c>
      <c r="G14" s="430">
        <f t="shared" si="0"/>
        <v>11.11463829787234</v>
      </c>
      <c r="H14" s="431">
        <f t="shared" si="2"/>
        <v>11.11463829787234</v>
      </c>
      <c r="I14" s="146"/>
      <c r="J14" s="146"/>
    </row>
    <row r="15" spans="1:10" s="38" customFormat="1" ht="18" hidden="1">
      <c r="A15" s="106" t="s">
        <v>104</v>
      </c>
      <c r="B15" s="432"/>
      <c r="C15" s="433">
        <f>B15</f>
        <v>0</v>
      </c>
      <c r="D15" s="434"/>
      <c r="E15" s="434"/>
      <c r="F15" s="435" t="e">
        <f t="shared" si="1"/>
        <v>#DIV/0!</v>
      </c>
      <c r="G15" s="434" t="e">
        <f t="shared" si="0"/>
        <v>#DIV/0!</v>
      </c>
      <c r="H15" s="436" t="e">
        <f t="shared" si="2"/>
        <v>#DIV/0!</v>
      </c>
      <c r="I15" s="157"/>
      <c r="J15" s="157"/>
    </row>
    <row r="16" spans="1:10" s="46" customFormat="1" ht="18" hidden="1">
      <c r="A16" s="410" t="s">
        <v>215</v>
      </c>
      <c r="B16" s="438"/>
      <c r="C16" s="433">
        <f>B16</f>
        <v>0</v>
      </c>
      <c r="D16" s="434">
        <v>0</v>
      </c>
      <c r="E16" s="434">
        <v>0</v>
      </c>
      <c r="F16" s="435" t="e">
        <f t="shared" si="1"/>
        <v>#DIV/0!</v>
      </c>
      <c r="G16" s="434" t="e">
        <f t="shared" si="0"/>
        <v>#DIV/0!</v>
      </c>
      <c r="H16" s="436" t="e">
        <f t="shared" si="2"/>
        <v>#DIV/0!</v>
      </c>
      <c r="I16" s="45"/>
      <c r="J16" s="45"/>
    </row>
    <row r="17" spans="1:10" s="46" customFormat="1" ht="18" hidden="1">
      <c r="A17" s="106" t="s">
        <v>157</v>
      </c>
      <c r="B17" s="432"/>
      <c r="C17" s="433">
        <f>B17</f>
        <v>0</v>
      </c>
      <c r="D17" s="434"/>
      <c r="E17" s="434"/>
      <c r="F17" s="435" t="e">
        <f t="shared" si="1"/>
        <v>#DIV/0!</v>
      </c>
      <c r="G17" s="434" t="e">
        <f t="shared" si="0"/>
        <v>#DIV/0!</v>
      </c>
      <c r="H17" s="436" t="e">
        <f t="shared" si="2"/>
        <v>#DIV/0!</v>
      </c>
      <c r="I17" s="45"/>
      <c r="J17" s="45"/>
    </row>
    <row r="18" spans="1:10" s="25" customFormat="1" ht="36">
      <c r="A18" s="411" t="s">
        <v>282</v>
      </c>
      <c r="B18" s="437">
        <f>467806.3398+5989.5942</f>
        <v>473795.934</v>
      </c>
      <c r="C18" s="428">
        <f>249573.6398+5989.5942</f>
        <v>255563.234</v>
      </c>
      <c r="D18" s="430">
        <v>162522.97614</v>
      </c>
      <c r="E18" s="430">
        <v>140715.69099</v>
      </c>
      <c r="F18" s="429">
        <f t="shared" si="1"/>
        <v>34.30231550699631</v>
      </c>
      <c r="G18" s="430">
        <f aca="true" t="shared" si="3" ref="G18:G30">D18/C18*100</f>
        <v>63.594036433268805</v>
      </c>
      <c r="H18" s="431">
        <f t="shared" si="2"/>
        <v>55.06100732392516</v>
      </c>
      <c r="I18" s="111"/>
      <c r="J18" s="111"/>
    </row>
    <row r="19" spans="1:10" s="46" customFormat="1" ht="36" hidden="1">
      <c r="A19" s="412" t="s">
        <v>294</v>
      </c>
      <c r="B19" s="432"/>
      <c r="C19" s="433"/>
      <c r="D19" s="434"/>
      <c r="E19" s="434"/>
      <c r="F19" s="435" t="e">
        <f t="shared" si="1"/>
        <v>#DIV/0!</v>
      </c>
      <c r="G19" s="434" t="e">
        <f t="shared" si="3"/>
        <v>#DIV/0!</v>
      </c>
      <c r="H19" s="436" t="e">
        <f t="shared" si="2"/>
        <v>#DIV/0!</v>
      </c>
      <c r="I19" s="45"/>
      <c r="J19" s="45"/>
    </row>
    <row r="20" spans="1:10" s="46" customFormat="1" ht="18" hidden="1">
      <c r="A20" s="413" t="s">
        <v>63</v>
      </c>
      <c r="B20" s="432"/>
      <c r="C20" s="433">
        <f>B20</f>
        <v>0</v>
      </c>
      <c r="D20" s="439"/>
      <c r="E20" s="439"/>
      <c r="F20" s="435" t="e">
        <f t="shared" si="1"/>
        <v>#DIV/0!</v>
      </c>
      <c r="G20" s="434" t="e">
        <f t="shared" si="3"/>
        <v>#DIV/0!</v>
      </c>
      <c r="H20" s="436" t="e">
        <f t="shared" si="2"/>
        <v>#DIV/0!</v>
      </c>
      <c r="I20" s="45"/>
      <c r="J20" s="45"/>
    </row>
    <row r="21" spans="1:10" s="46" customFormat="1" ht="36" hidden="1">
      <c r="A21" s="106" t="s">
        <v>156</v>
      </c>
      <c r="B21" s="432"/>
      <c r="C21" s="433"/>
      <c r="D21" s="439"/>
      <c r="E21" s="439"/>
      <c r="F21" s="435" t="e">
        <f t="shared" si="1"/>
        <v>#DIV/0!</v>
      </c>
      <c r="G21" s="434" t="e">
        <f t="shared" si="3"/>
        <v>#DIV/0!</v>
      </c>
      <c r="H21" s="436" t="e">
        <f t="shared" si="2"/>
        <v>#DIV/0!</v>
      </c>
      <c r="I21" s="45"/>
      <c r="J21" s="45"/>
    </row>
    <row r="22" spans="1:10" s="46" customFormat="1" ht="128.25" customHeight="1" hidden="1">
      <c r="A22" s="106" t="s">
        <v>279</v>
      </c>
      <c r="B22" s="432"/>
      <c r="C22" s="433"/>
      <c r="D22" s="439"/>
      <c r="E22" s="439"/>
      <c r="F22" s="435" t="e">
        <f>D22/B22*100</f>
        <v>#DIV/0!</v>
      </c>
      <c r="G22" s="434" t="e">
        <f t="shared" si="3"/>
        <v>#DIV/0!</v>
      </c>
      <c r="H22" s="436" t="e">
        <f t="shared" si="2"/>
        <v>#DIV/0!</v>
      </c>
      <c r="I22" s="45"/>
      <c r="J22" s="45"/>
    </row>
    <row r="23" spans="1:10" s="25" customFormat="1" ht="18">
      <c r="A23" s="110" t="s">
        <v>213</v>
      </c>
      <c r="B23" s="440">
        <f>SUM(B24:B37)</f>
        <v>369051.15525999997</v>
      </c>
      <c r="C23" s="430">
        <f>SUM(C24:C37)</f>
        <v>278566.55916</v>
      </c>
      <c r="D23" s="430">
        <f>SUM(D24:D37)</f>
        <v>117772.14496999996</v>
      </c>
      <c r="E23" s="430">
        <f>SUM(E24:E37)</f>
        <v>76920.90976999998</v>
      </c>
      <c r="F23" s="429">
        <f t="shared" si="1"/>
        <v>31.91214640339722</v>
      </c>
      <c r="G23" s="430">
        <f t="shared" si="3"/>
        <v>42.27791926106798</v>
      </c>
      <c r="H23" s="431">
        <f t="shared" si="2"/>
        <v>27.613116951995302</v>
      </c>
      <c r="I23" s="111"/>
      <c r="J23" s="111"/>
    </row>
    <row r="24" spans="1:10" s="115" customFormat="1" ht="18.75">
      <c r="A24" s="414" t="s">
        <v>316</v>
      </c>
      <c r="B24" s="441">
        <v>1625</v>
      </c>
      <c r="C24" s="428">
        <v>500</v>
      </c>
      <c r="D24" s="442">
        <v>429.36</v>
      </c>
      <c r="E24" s="442">
        <v>399.36</v>
      </c>
      <c r="F24" s="429">
        <f t="shared" si="1"/>
        <v>26.422153846153844</v>
      </c>
      <c r="G24" s="430">
        <f t="shared" si="3"/>
        <v>85.872</v>
      </c>
      <c r="H24" s="431">
        <f t="shared" si="2"/>
        <v>79.872</v>
      </c>
      <c r="I24" s="114"/>
      <c r="J24" s="114"/>
    </row>
    <row r="25" spans="1:10" s="115" customFormat="1" ht="19.5" customHeight="1">
      <c r="A25" s="414" t="s">
        <v>246</v>
      </c>
      <c r="B25" s="441">
        <v>108302.64</v>
      </c>
      <c r="C25" s="428">
        <v>56514.69</v>
      </c>
      <c r="D25" s="442">
        <v>33568.808</v>
      </c>
      <c r="E25" s="442">
        <v>32185.36044</v>
      </c>
      <c r="F25" s="429">
        <f t="shared" si="1"/>
        <v>30.995373704648376</v>
      </c>
      <c r="G25" s="430">
        <f t="shared" si="3"/>
        <v>59.398375891294805</v>
      </c>
      <c r="H25" s="431">
        <f t="shared" si="2"/>
        <v>56.95043260433703</v>
      </c>
      <c r="I25" s="114"/>
      <c r="J25" s="114"/>
    </row>
    <row r="26" spans="1:10" s="115" customFormat="1" ht="18.75">
      <c r="A26" s="414" t="s">
        <v>229</v>
      </c>
      <c r="B26" s="441">
        <v>40537.16759</v>
      </c>
      <c r="C26" s="428">
        <v>23813.66159</v>
      </c>
      <c r="D26" s="442">
        <v>12383.48919</v>
      </c>
      <c r="E26" s="442">
        <v>11430.20419</v>
      </c>
      <c r="F26" s="429">
        <f t="shared" si="1"/>
        <v>30.54848161876719</v>
      </c>
      <c r="G26" s="430">
        <f t="shared" si="3"/>
        <v>52.0016174043565</v>
      </c>
      <c r="H26" s="431">
        <f t="shared" si="2"/>
        <v>47.998516090443864</v>
      </c>
      <c r="I26" s="114"/>
      <c r="J26" s="114"/>
    </row>
    <row r="27" spans="1:10" s="108" customFormat="1" ht="18.75" hidden="1">
      <c r="A27" s="415" t="s">
        <v>159</v>
      </c>
      <c r="B27" s="443"/>
      <c r="C27" s="433">
        <f>B27</f>
        <v>0</v>
      </c>
      <c r="D27" s="444"/>
      <c r="E27" s="444"/>
      <c r="F27" s="435" t="e">
        <f t="shared" si="1"/>
        <v>#DIV/0!</v>
      </c>
      <c r="G27" s="434" t="e">
        <f>D27/C27*100</f>
        <v>#DIV/0!</v>
      </c>
      <c r="H27" s="436" t="e">
        <f t="shared" si="2"/>
        <v>#DIV/0!</v>
      </c>
      <c r="I27" s="107"/>
      <c r="J27" s="107"/>
    </row>
    <row r="28" spans="1:10" s="108" customFormat="1" ht="18.75" hidden="1">
      <c r="A28" s="415" t="s">
        <v>131</v>
      </c>
      <c r="B28" s="443"/>
      <c r="C28" s="433"/>
      <c r="D28" s="444"/>
      <c r="E28" s="444"/>
      <c r="F28" s="435" t="e">
        <f t="shared" si="1"/>
        <v>#DIV/0!</v>
      </c>
      <c r="G28" s="434" t="e">
        <f>D28/C28*100</f>
        <v>#DIV/0!</v>
      </c>
      <c r="H28" s="436" t="e">
        <f t="shared" si="2"/>
        <v>#DIV/0!</v>
      </c>
      <c r="I28" s="107"/>
      <c r="J28" s="107"/>
    </row>
    <row r="29" spans="1:10" s="108" customFormat="1" ht="18.75" hidden="1">
      <c r="A29" s="416" t="s">
        <v>204</v>
      </c>
      <c r="B29" s="443"/>
      <c r="C29" s="433"/>
      <c r="D29" s="444"/>
      <c r="E29" s="444"/>
      <c r="F29" s="435" t="e">
        <f t="shared" si="1"/>
        <v>#DIV/0!</v>
      </c>
      <c r="G29" s="434" t="e">
        <f>D29/C29*100</f>
        <v>#DIV/0!</v>
      </c>
      <c r="H29" s="436" t="e">
        <f t="shared" si="2"/>
        <v>#DIV/0!</v>
      </c>
      <c r="I29" s="107"/>
      <c r="J29" s="107"/>
    </row>
    <row r="30" spans="1:10" s="115" customFormat="1" ht="18.75">
      <c r="A30" s="417" t="s">
        <v>317</v>
      </c>
      <c r="B30" s="441">
        <v>174.65</v>
      </c>
      <c r="C30" s="428">
        <v>174.65</v>
      </c>
      <c r="D30" s="442">
        <v>174.65</v>
      </c>
      <c r="E30" s="442">
        <f>D30</f>
        <v>174.65</v>
      </c>
      <c r="F30" s="429">
        <f t="shared" si="1"/>
        <v>100</v>
      </c>
      <c r="G30" s="430">
        <f t="shared" si="3"/>
        <v>100</v>
      </c>
      <c r="H30" s="431">
        <f t="shared" si="2"/>
        <v>100</v>
      </c>
      <c r="I30" s="114"/>
      <c r="J30" s="114"/>
    </row>
    <row r="31" spans="1:10" s="115" customFormat="1" ht="18.75">
      <c r="A31" s="414" t="s">
        <v>200</v>
      </c>
      <c r="B31" s="441">
        <v>10193</v>
      </c>
      <c r="C31" s="428">
        <v>6993</v>
      </c>
      <c r="D31" s="442">
        <v>192</v>
      </c>
      <c r="E31" s="442">
        <v>192</v>
      </c>
      <c r="F31" s="429">
        <f t="shared" si="1"/>
        <v>1.883645639164132</v>
      </c>
      <c r="G31" s="430">
        <v>0</v>
      </c>
      <c r="H31" s="431">
        <v>0</v>
      </c>
      <c r="I31" s="114"/>
      <c r="J31" s="114"/>
    </row>
    <row r="32" spans="1:10" s="46" customFormat="1" ht="18.75" hidden="1">
      <c r="A32" s="416" t="s">
        <v>197</v>
      </c>
      <c r="B32" s="432"/>
      <c r="C32" s="433"/>
      <c r="D32" s="434"/>
      <c r="E32" s="434"/>
      <c r="F32" s="435" t="e">
        <f t="shared" si="1"/>
        <v>#DIV/0!</v>
      </c>
      <c r="G32" s="434" t="e">
        <f>D32/C32*100</f>
        <v>#DIV/0!</v>
      </c>
      <c r="H32" s="436">
        <v>0</v>
      </c>
      <c r="I32" s="45"/>
      <c r="J32" s="45"/>
    </row>
    <row r="33" spans="1:10" s="115" customFormat="1" ht="18.75">
      <c r="A33" s="418" t="s">
        <v>160</v>
      </c>
      <c r="B33" s="441">
        <v>300</v>
      </c>
      <c r="C33" s="428">
        <v>0</v>
      </c>
      <c r="D33" s="442">
        <v>0</v>
      </c>
      <c r="E33" s="442">
        <v>0</v>
      </c>
      <c r="F33" s="429">
        <f t="shared" si="1"/>
        <v>0</v>
      </c>
      <c r="G33" s="430">
        <v>0</v>
      </c>
      <c r="H33" s="431">
        <v>0</v>
      </c>
      <c r="I33" s="114"/>
      <c r="J33" s="114"/>
    </row>
    <row r="34" spans="1:10" s="115" customFormat="1" ht="18.75">
      <c r="A34" s="418" t="s">
        <v>226</v>
      </c>
      <c r="B34" s="441">
        <f>673917.19167-B14-B18-B19</f>
        <v>198711.25766999996</v>
      </c>
      <c r="C34" s="428">
        <f>444705.63257-C14-C18-C19</f>
        <v>187732.39857000002</v>
      </c>
      <c r="D34" s="442">
        <f>233683.75332-D14-D18-D19</f>
        <v>71004.06077999997</v>
      </c>
      <c r="E34" s="442">
        <f>173411.74253-E18-E14-E19</f>
        <v>32539.335139999985</v>
      </c>
      <c r="F34" s="429">
        <f t="shared" si="1"/>
        <v>35.73227889177598</v>
      </c>
      <c r="G34" s="430">
        <f>D34/C34*100</f>
        <v>37.82195365363352</v>
      </c>
      <c r="H34" s="431">
        <f t="shared" si="2"/>
        <v>17.332828743391886</v>
      </c>
      <c r="I34" s="114"/>
      <c r="J34" s="114"/>
    </row>
    <row r="35" spans="1:10" s="108" customFormat="1" ht="18.75" hidden="1">
      <c r="A35" s="416" t="s">
        <v>225</v>
      </c>
      <c r="B35" s="443"/>
      <c r="C35" s="433"/>
      <c r="D35" s="444"/>
      <c r="E35" s="444"/>
      <c r="F35" s="435" t="e">
        <f aca="true" t="shared" si="4" ref="F35:F45">D35/B35*100</f>
        <v>#DIV/0!</v>
      </c>
      <c r="G35" s="434" t="e">
        <f>D35/C35*100</f>
        <v>#DIV/0!</v>
      </c>
      <c r="H35" s="436" t="e">
        <f t="shared" si="2"/>
        <v>#DIV/0!</v>
      </c>
      <c r="I35" s="107"/>
      <c r="J35" s="107"/>
    </row>
    <row r="36" spans="1:10" s="115" customFormat="1" ht="19.5" thickBot="1">
      <c r="A36" s="418" t="s">
        <v>196</v>
      </c>
      <c r="B36" s="441">
        <v>9207.44</v>
      </c>
      <c r="C36" s="428">
        <v>2838.159</v>
      </c>
      <c r="D36" s="442">
        <v>19.777</v>
      </c>
      <c r="E36" s="442">
        <v>0</v>
      </c>
      <c r="F36" s="429">
        <f t="shared" si="4"/>
        <v>0.21479368858227693</v>
      </c>
      <c r="G36" s="430">
        <v>0</v>
      </c>
      <c r="H36" s="431">
        <v>0</v>
      </c>
      <c r="I36" s="114"/>
      <c r="J36" s="114"/>
    </row>
    <row r="37" spans="1:10" s="108" customFormat="1" ht="19.5" hidden="1" thickBot="1">
      <c r="A37" s="419" t="s">
        <v>305</v>
      </c>
      <c r="B37" s="445">
        <v>0</v>
      </c>
      <c r="C37" s="433">
        <v>0</v>
      </c>
      <c r="D37" s="446">
        <v>0</v>
      </c>
      <c r="E37" s="446">
        <v>0</v>
      </c>
      <c r="F37" s="447" t="e">
        <f t="shared" si="4"/>
        <v>#DIV/0!</v>
      </c>
      <c r="G37" s="434">
        <v>0</v>
      </c>
      <c r="H37" s="436">
        <v>0</v>
      </c>
      <c r="I37" s="107"/>
      <c r="J37" s="107"/>
    </row>
    <row r="38" spans="1:10" s="113" customFormat="1" ht="19.5" thickBot="1">
      <c r="A38" s="420" t="s">
        <v>93</v>
      </c>
      <c r="B38" s="448">
        <f>B11+B12+B14+B18+B21+B23+B22+B19+B13</f>
        <v>856739.37119</v>
      </c>
      <c r="C38" s="448">
        <f>C11+C12+C14+C18+C21+C23+C22+C19+C13</f>
        <v>545876.77509</v>
      </c>
      <c r="D38" s="448">
        <f>D11+D12+D14+D18+D21+D23+D22+D19+D13</f>
        <v>280525.83751</v>
      </c>
      <c r="E38" s="448">
        <f>E11+E12+E14+E18+E21+E23+E22+E19+E13</f>
        <v>217867.31715999998</v>
      </c>
      <c r="F38" s="449">
        <f>D38/B38*100</f>
        <v>32.74342780819717</v>
      </c>
      <c r="G38" s="450">
        <f>D38/C38*100</f>
        <v>51.38995654536668</v>
      </c>
      <c r="H38" s="451">
        <f>E38/C38*100</f>
        <v>39.9114465208892</v>
      </c>
      <c r="I38" s="112"/>
      <c r="J38" s="112"/>
    </row>
    <row r="39" spans="1:10" s="115" customFormat="1" ht="25.5" customHeight="1" thickBot="1">
      <c r="A39" s="422" t="s">
        <v>16</v>
      </c>
      <c r="B39" s="452">
        <f>('[2]Z2R_221S_001'!$H$528+'[3]Z2R_222S_001'!$H$382)/1000</f>
        <v>187812.38462</v>
      </c>
      <c r="C39" s="423" t="s">
        <v>10</v>
      </c>
      <c r="D39" s="423" t="s">
        <v>10</v>
      </c>
      <c r="E39" s="454">
        <v>80867.23218</v>
      </c>
      <c r="F39" s="424" t="s">
        <v>10</v>
      </c>
      <c r="G39" s="423" t="s">
        <v>10</v>
      </c>
      <c r="H39" s="425" t="s">
        <v>10</v>
      </c>
      <c r="I39" s="114"/>
      <c r="J39" s="114"/>
    </row>
    <row r="40" spans="1:10" s="25" customFormat="1" ht="29.25" customHeight="1" thickBot="1">
      <c r="A40" s="426" t="s">
        <v>14</v>
      </c>
      <c r="B40" s="453">
        <f>B38+B39</f>
        <v>1044551.75581</v>
      </c>
      <c r="C40" s="450">
        <f>C38</f>
        <v>545876.77509</v>
      </c>
      <c r="D40" s="448">
        <f>D38</f>
        <v>280525.83751</v>
      </c>
      <c r="E40" s="450">
        <f>E38+E39</f>
        <v>298734.54933999997</v>
      </c>
      <c r="F40" s="449">
        <f>D40/B40*100</f>
        <v>26.8560974551678</v>
      </c>
      <c r="G40" s="421" t="s">
        <v>10</v>
      </c>
      <c r="H40" s="451">
        <f aca="true" t="shared" si="5" ref="H40:H45">E40/C40*100</f>
        <v>54.72563827078866</v>
      </c>
      <c r="I40" s="111"/>
      <c r="J40" s="111"/>
    </row>
    <row r="41" spans="1:10" s="46" customFormat="1" ht="42" customHeight="1" hidden="1">
      <c r="A41" s="50" t="s">
        <v>100</v>
      </c>
      <c r="B41" s="39"/>
      <c r="C41" s="40"/>
      <c r="D41" s="40"/>
      <c r="E41" s="40"/>
      <c r="F41" s="41" t="e">
        <f>D41/B41*100</f>
        <v>#DIV/0!</v>
      </c>
      <c r="G41" s="40" t="e">
        <f>D41/C41*100</f>
        <v>#DIV/0!</v>
      </c>
      <c r="H41" s="51" t="e">
        <f t="shared" si="5"/>
        <v>#DIV/0!</v>
      </c>
      <c r="I41" s="45"/>
      <c r="J41" s="45"/>
    </row>
    <row r="42" spans="1:10" s="46" customFormat="1" ht="41.25" customHeight="1" hidden="1">
      <c r="A42" s="62" t="s">
        <v>130</v>
      </c>
      <c r="B42" s="44"/>
      <c r="C42" s="42"/>
      <c r="D42" s="42"/>
      <c r="E42" s="42"/>
      <c r="F42" s="41" t="e">
        <f t="shared" si="4"/>
        <v>#DIV/0!</v>
      </c>
      <c r="G42" s="42" t="e">
        <f>D42/C42*100</f>
        <v>#DIV/0!</v>
      </c>
      <c r="H42" s="43" t="e">
        <f t="shared" si="5"/>
        <v>#DIV/0!</v>
      </c>
      <c r="I42" s="45"/>
      <c r="J42" s="45"/>
    </row>
    <row r="43" spans="1:10" s="46" customFormat="1" ht="108.75" hidden="1" thickBot="1">
      <c r="A43" s="63" t="s">
        <v>158</v>
      </c>
      <c r="B43" s="44"/>
      <c r="C43" s="42"/>
      <c r="D43" s="42"/>
      <c r="E43" s="42"/>
      <c r="F43" s="41" t="e">
        <f t="shared" si="4"/>
        <v>#DIV/0!</v>
      </c>
      <c r="G43" s="42" t="e">
        <f>D43/C43*100</f>
        <v>#DIV/0!</v>
      </c>
      <c r="H43" s="43" t="e">
        <f t="shared" si="5"/>
        <v>#DIV/0!</v>
      </c>
      <c r="I43" s="45"/>
      <c r="J43" s="45"/>
    </row>
    <row r="44" spans="1:10" s="46" customFormat="1" ht="36.75" hidden="1" thickBot="1">
      <c r="A44" s="63" t="s">
        <v>129</v>
      </c>
      <c r="B44" s="44"/>
      <c r="C44" s="42"/>
      <c r="D44" s="42"/>
      <c r="E44" s="42"/>
      <c r="F44" s="41" t="e">
        <f t="shared" si="4"/>
        <v>#DIV/0!</v>
      </c>
      <c r="G44" s="42" t="e">
        <f>D44/C44*100</f>
        <v>#DIV/0!</v>
      </c>
      <c r="H44" s="43" t="e">
        <f t="shared" si="5"/>
        <v>#DIV/0!</v>
      </c>
      <c r="I44" s="45"/>
      <c r="J44" s="45"/>
    </row>
    <row r="45" spans="1:10" s="46" customFormat="1" ht="42.75" customHeight="1" hidden="1" thickBot="1">
      <c r="A45" s="52" t="s">
        <v>98</v>
      </c>
      <c r="B45" s="53"/>
      <c r="C45" s="48"/>
      <c r="D45" s="48"/>
      <c r="E45" s="48"/>
      <c r="F45" s="47" t="e">
        <f t="shared" si="4"/>
        <v>#DIV/0!</v>
      </c>
      <c r="G45" s="48" t="e">
        <f>D45/C45*100</f>
        <v>#DIV/0!</v>
      </c>
      <c r="H45" s="49" t="e">
        <f t="shared" si="5"/>
        <v>#DIV/0!</v>
      </c>
      <c r="I45" s="45"/>
      <c r="J45" s="45"/>
    </row>
    <row r="46" spans="1:10" s="46" customFormat="1" ht="28.5" customHeight="1" hidden="1" thickBot="1">
      <c r="A46" s="64" t="s">
        <v>43</v>
      </c>
      <c r="B46" s="58">
        <f>SUM(B40:B45)</f>
        <v>1044551.75581</v>
      </c>
      <c r="C46" s="59">
        <f>SUM(C40:C45)</f>
        <v>545876.77509</v>
      </c>
      <c r="D46" s="59">
        <f>SUM(D40:D45)</f>
        <v>280525.83751</v>
      </c>
      <c r="E46" s="60">
        <f>SUM(E40:E45)</f>
        <v>298734.54933999997</v>
      </c>
      <c r="F46" s="60">
        <f>D46/B46*100</f>
        <v>26.8560974551678</v>
      </c>
      <c r="G46" s="59" t="s">
        <v>10</v>
      </c>
      <c r="H46" s="61" t="s">
        <v>10</v>
      </c>
      <c r="I46" s="45"/>
      <c r="J46" s="45"/>
    </row>
    <row r="47" spans="2:9" ht="15">
      <c r="B47" s="4"/>
      <c r="C47" s="4"/>
      <c r="D47" s="4"/>
      <c r="E47" s="4"/>
      <c r="F47" s="4"/>
      <c r="G47" s="4"/>
      <c r="I47" s="155"/>
    </row>
    <row r="48" spans="2:7" ht="15" hidden="1">
      <c r="B48" s="4"/>
      <c r="C48" s="4"/>
      <c r="D48" s="4"/>
      <c r="E48" s="4"/>
      <c r="F48" s="4"/>
      <c r="G48" s="4"/>
    </row>
    <row r="49" ht="12.75">
      <c r="A49" s="158"/>
    </row>
    <row r="50" s="86" customFormat="1" ht="18.75">
      <c r="A50" s="86" t="s">
        <v>144</v>
      </c>
    </row>
    <row r="51" spans="1:8" s="86" customFormat="1" ht="18.75">
      <c r="A51" s="87" t="s">
        <v>145</v>
      </c>
      <c r="B51" s="87"/>
      <c r="C51" s="87"/>
      <c r="D51" s="87"/>
      <c r="E51" s="87"/>
      <c r="F51" s="87"/>
      <c r="H51" s="88" t="s">
        <v>267</v>
      </c>
    </row>
    <row r="52" spans="1:4" s="25" customFormat="1" ht="18" hidden="1">
      <c r="A52" s="25" t="s">
        <v>144</v>
      </c>
      <c r="C52" s="26"/>
      <c r="D52" s="26"/>
    </row>
    <row r="53" spans="1:8" s="25" customFormat="1" ht="18" hidden="1">
      <c r="A53" s="25" t="s">
        <v>145</v>
      </c>
      <c r="B53" s="26"/>
      <c r="C53" s="26"/>
      <c r="H53" s="27" t="s">
        <v>109</v>
      </c>
    </row>
    <row r="54" spans="1:7" ht="12.75" hidden="1">
      <c r="A54" s="79" t="s">
        <v>263</v>
      </c>
      <c r="B54" s="79"/>
      <c r="C54" s="80"/>
      <c r="D54" s="81"/>
      <c r="E54" s="80"/>
      <c r="F54" s="80"/>
      <c r="G54" s="80"/>
    </row>
    <row r="55" spans="1:7" ht="12.75" hidden="1">
      <c r="A55" s="82" t="s">
        <v>264</v>
      </c>
      <c r="B55" s="82"/>
      <c r="C55" s="81"/>
      <c r="D55" s="82"/>
      <c r="E55" s="81"/>
      <c r="F55" s="82"/>
      <c r="G55" s="83"/>
    </row>
    <row r="56" spans="1:7" ht="12.75" hidden="1">
      <c r="A56" s="79" t="s">
        <v>265</v>
      </c>
      <c r="B56" s="79"/>
      <c r="C56" s="80"/>
      <c r="D56" s="81"/>
      <c r="E56" s="80"/>
      <c r="F56" s="80"/>
      <c r="G56" s="80" t="s">
        <v>266</v>
      </c>
    </row>
    <row r="57" spans="2:4" ht="12.75">
      <c r="B57" s="153"/>
      <c r="D57" s="153"/>
    </row>
    <row r="59" spans="2:5" ht="12.75">
      <c r="B59" s="153"/>
      <c r="C59" s="153"/>
      <c r="D59" s="153"/>
      <c r="E59" s="153"/>
    </row>
    <row r="60" spans="2:5" ht="12.75">
      <c r="B60" s="153"/>
      <c r="C60" s="153"/>
      <c r="D60" s="153"/>
      <c r="E60" s="153"/>
    </row>
  </sheetData>
  <sheetProtection/>
  <mergeCells count="7">
    <mergeCell ref="A2:H3"/>
    <mergeCell ref="D9:D10"/>
    <mergeCell ref="E9:E10"/>
    <mergeCell ref="A7:A10"/>
    <mergeCell ref="B9:C9"/>
    <mergeCell ref="F9:G9"/>
    <mergeCell ref="B7:H8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1"/>
  <colBreaks count="1" manualBreakCount="1">
    <brk id="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34"/>
  <sheetViews>
    <sheetView showZeros="0" zoomScaleSheetLayoutView="100" zoomScalePageLayoutView="0" workbookViewId="0" topLeftCell="A1">
      <pane xSplit="1" ySplit="8" topLeftCell="B9" activePane="bottomRight" state="frozen"/>
      <selection pane="topLeft" activeCell="A8" sqref="A8:IV108"/>
      <selection pane="topRight" activeCell="A8" sqref="A8:IV108"/>
      <selection pane="bottomLeft" activeCell="A8" sqref="A8:IV108"/>
      <selection pane="bottomRight" activeCell="A3" sqref="A3:A4"/>
    </sheetView>
  </sheetViews>
  <sheetFormatPr defaultColWidth="9.00390625" defaultRowHeight="12.75"/>
  <cols>
    <col min="1" max="1" width="60.375" style="152" customWidth="1"/>
    <col min="2" max="3" width="11.625" style="34" customWidth="1"/>
    <col min="4" max="4" width="11.375" style="34" customWidth="1"/>
    <col min="5" max="5" width="14.375" style="34" customWidth="1"/>
    <col min="6" max="6" width="11.625" style="34" customWidth="1"/>
    <col min="7" max="7" width="10.875" style="34" bestFit="1" customWidth="1"/>
    <col min="8" max="8" width="11.125" style="34" bestFit="1" customWidth="1"/>
    <col min="9" max="9" width="9.125" style="34" customWidth="1"/>
    <col min="10" max="10" width="10.125" style="34" bestFit="1" customWidth="1"/>
    <col min="11" max="16384" width="9.125" style="34" customWidth="1"/>
  </cols>
  <sheetData>
    <row r="1" spans="1:6" ht="12.75">
      <c r="A1" s="237" t="s">
        <v>351</v>
      </c>
      <c r="B1" s="237"/>
      <c r="C1" s="237"/>
      <c r="D1" s="237"/>
      <c r="E1" s="237"/>
      <c r="F1" s="237"/>
    </row>
    <row r="2" ht="13.5" thickBot="1">
      <c r="F2" s="34" t="s">
        <v>94</v>
      </c>
    </row>
    <row r="3" spans="1:6" s="57" customFormat="1" ht="17.25" customHeight="1">
      <c r="A3" s="227" t="s">
        <v>52</v>
      </c>
      <c r="B3" s="231" t="s">
        <v>304</v>
      </c>
      <c r="C3" s="231" t="s">
        <v>352</v>
      </c>
      <c r="D3" s="231" t="s">
        <v>2</v>
      </c>
      <c r="E3" s="231" t="s">
        <v>312</v>
      </c>
      <c r="F3" s="223" t="s">
        <v>353</v>
      </c>
    </row>
    <row r="4" spans="1:6" s="57" customFormat="1" ht="42" customHeight="1">
      <c r="A4" s="228"/>
      <c r="B4" s="238"/>
      <c r="C4" s="238"/>
      <c r="D4" s="230"/>
      <c r="E4" s="238"/>
      <c r="F4" s="224"/>
    </row>
    <row r="5" spans="1:6" ht="12.75">
      <c r="A5" s="232" t="s">
        <v>5</v>
      </c>
      <c r="B5" s="233"/>
      <c r="C5" s="233"/>
      <c r="D5" s="233"/>
      <c r="E5" s="233"/>
      <c r="F5" s="234"/>
    </row>
    <row r="6" spans="1:6" ht="12.75" customHeight="1" hidden="1">
      <c r="A6" s="239" t="s">
        <v>7</v>
      </c>
      <c r="B6" s="141"/>
      <c r="C6" s="141"/>
      <c r="D6" s="141"/>
      <c r="E6" s="141"/>
      <c r="F6" s="142"/>
    </row>
    <row r="7" spans="1:6" ht="12.75" hidden="1">
      <c r="A7" s="117" t="s">
        <v>11</v>
      </c>
      <c r="B7" s="76">
        <f>'Дох спец'!B7</f>
        <v>0</v>
      </c>
      <c r="C7" s="76">
        <f>'Дох спец'!C7</f>
        <v>0</v>
      </c>
      <c r="D7" s="76">
        <f>'Дох спец'!D7</f>
        <v>0.008</v>
      </c>
      <c r="E7" s="150">
        <v>0</v>
      </c>
      <c r="F7" s="104">
        <f>D7-B7</f>
        <v>0.008</v>
      </c>
    </row>
    <row r="8" spans="1:6" ht="25.5" customHeight="1" hidden="1">
      <c r="A8" s="117" t="s">
        <v>62</v>
      </c>
      <c r="B8" s="129">
        <f>'Дох спец'!B8</f>
        <v>0</v>
      </c>
      <c r="C8" s="129">
        <f>'Дох спец'!C8</f>
        <v>0</v>
      </c>
      <c r="D8" s="76">
        <f>'Дох спец'!D8</f>
        <v>0</v>
      </c>
      <c r="E8" s="129" t="e">
        <f>D8/C8*100</f>
        <v>#DIV/0!</v>
      </c>
      <c r="F8" s="104">
        <f>D8-C8</f>
        <v>0</v>
      </c>
    </row>
    <row r="9" spans="1:6" ht="44.25" customHeight="1">
      <c r="A9" s="117" t="s">
        <v>278</v>
      </c>
      <c r="B9" s="373">
        <f>'Дох спец'!B10</f>
        <v>38.58</v>
      </c>
      <c r="C9" s="373">
        <f>'Дох спец'!C10</f>
        <v>19.29</v>
      </c>
      <c r="D9" s="374">
        <f>'Дох спец'!D10</f>
        <v>19.29</v>
      </c>
      <c r="E9" s="373">
        <f>D9/B9*100</f>
        <v>50</v>
      </c>
      <c r="F9" s="375">
        <f>D9-C9</f>
        <v>0</v>
      </c>
    </row>
    <row r="10" spans="1:6" ht="12.75" hidden="1">
      <c r="A10" s="117" t="s">
        <v>8</v>
      </c>
      <c r="B10" s="373"/>
      <c r="C10" s="373" t="str">
        <f>'Дох спец'!C26</f>
        <v>х</v>
      </c>
      <c r="D10" s="373"/>
      <c r="E10" s="373" t="e">
        <f aca="true" t="shared" si="0" ref="E10:E39">D10/B10*100</f>
        <v>#DIV/0!</v>
      </c>
      <c r="F10" s="375" t="e">
        <f aca="true" t="shared" si="1" ref="F10:F39">D10-C10</f>
        <v>#VALUE!</v>
      </c>
    </row>
    <row r="11" spans="1:6" ht="25.5">
      <c r="A11" s="119" t="s">
        <v>96</v>
      </c>
      <c r="B11" s="374">
        <f>'Дох спец'!B11</f>
        <v>0</v>
      </c>
      <c r="C11" s="374">
        <f>'Дох спец'!B11</f>
        <v>0</v>
      </c>
      <c r="D11" s="374">
        <f>'Дох спец'!D11</f>
        <v>9.08919</v>
      </c>
      <c r="E11" s="373">
        <v>0</v>
      </c>
      <c r="F11" s="375">
        <f>D11-C11</f>
        <v>9.08919</v>
      </c>
    </row>
    <row r="12" spans="1:6" ht="25.5" hidden="1">
      <c r="A12" s="119" t="s">
        <v>188</v>
      </c>
      <c r="B12" s="374">
        <f>'Дох спец'!B12</f>
        <v>0</v>
      </c>
      <c r="C12" s="374">
        <f>'Дох спец'!C12</f>
        <v>0</v>
      </c>
      <c r="D12" s="374">
        <f>'Дох спец'!D12</f>
        <v>0</v>
      </c>
      <c r="E12" s="373" t="e">
        <f t="shared" si="0"/>
        <v>#DIV/0!</v>
      </c>
      <c r="F12" s="375">
        <f t="shared" si="1"/>
        <v>0</v>
      </c>
    </row>
    <row r="13" spans="1:7" ht="12.75">
      <c r="A13" s="119" t="s">
        <v>128</v>
      </c>
      <c r="B13" s="374">
        <f>'Дох спец'!B13</f>
        <v>4362.7</v>
      </c>
      <c r="C13" s="374">
        <f>'Дох спец'!C13</f>
        <v>2250.7</v>
      </c>
      <c r="D13" s="374">
        <f>'Дох спец'!D13</f>
        <v>2583.2925</v>
      </c>
      <c r="E13" s="373">
        <f t="shared" si="0"/>
        <v>59.21315928209595</v>
      </c>
      <c r="F13" s="375">
        <f t="shared" si="1"/>
        <v>332.5925000000002</v>
      </c>
      <c r="G13" s="151"/>
    </row>
    <row r="14" spans="1:6" ht="12.75" hidden="1">
      <c r="A14" s="119" t="s">
        <v>11</v>
      </c>
      <c r="B14" s="374">
        <f>'Дох спец'!B14</f>
        <v>0</v>
      </c>
      <c r="C14" s="374">
        <f>'Дох спец'!C14</f>
        <v>0</v>
      </c>
      <c r="D14" s="374">
        <f>'Дох спец'!D14</f>
        <v>0</v>
      </c>
      <c r="E14" s="373" t="e">
        <f t="shared" si="0"/>
        <v>#DIV/0!</v>
      </c>
      <c r="F14" s="375">
        <f t="shared" si="1"/>
        <v>0</v>
      </c>
    </row>
    <row r="15" spans="1:6" ht="12.75">
      <c r="A15" s="119" t="s">
        <v>20</v>
      </c>
      <c r="B15" s="374">
        <f>'Дох спец'!B16</f>
        <v>0</v>
      </c>
      <c r="C15" s="374">
        <f>'Дох спец'!C16</f>
        <v>0</v>
      </c>
      <c r="D15" s="374">
        <f>'Дох спец'!D16</f>
        <v>388.37277</v>
      </c>
      <c r="E15" s="373">
        <v>0</v>
      </c>
      <c r="F15" s="375">
        <f t="shared" si="1"/>
        <v>388.37277</v>
      </c>
    </row>
    <row r="16" spans="1:6" ht="25.5" hidden="1">
      <c r="A16" s="119" t="s">
        <v>280</v>
      </c>
      <c r="B16" s="374">
        <f>'Дох спец'!B12</f>
        <v>0</v>
      </c>
      <c r="C16" s="374">
        <f>'Дох спец'!B18</f>
        <v>0</v>
      </c>
      <c r="D16" s="374">
        <f>'Дох спец'!D12</f>
        <v>0</v>
      </c>
      <c r="E16" s="373" t="e">
        <f t="shared" si="0"/>
        <v>#DIV/0!</v>
      </c>
      <c r="F16" s="375">
        <f t="shared" si="1"/>
        <v>0</v>
      </c>
    </row>
    <row r="17" spans="1:8" ht="12.75" hidden="1">
      <c r="A17" s="119" t="s">
        <v>30</v>
      </c>
      <c r="B17" s="374">
        <f>'Дох спец'!B24</f>
        <v>0</v>
      </c>
      <c r="C17" s="374">
        <f>'Дох спец'!C24</f>
        <v>0</v>
      </c>
      <c r="D17" s="374">
        <f>'Дох спец'!D24</f>
        <v>0</v>
      </c>
      <c r="E17" s="373" t="e">
        <f t="shared" si="0"/>
        <v>#DIV/0!</v>
      </c>
      <c r="F17" s="375">
        <f t="shared" si="1"/>
        <v>0</v>
      </c>
      <c r="H17" s="34" t="s">
        <v>18</v>
      </c>
    </row>
    <row r="18" spans="1:6" ht="38.25">
      <c r="A18" s="119" t="s">
        <v>184</v>
      </c>
      <c r="B18" s="373">
        <f>'Дох спец'!B15</f>
        <v>45</v>
      </c>
      <c r="C18" s="373">
        <f>'Дох спец'!C15</f>
        <v>11.700000000000001</v>
      </c>
      <c r="D18" s="373">
        <f>'Дох спец'!D15</f>
        <v>82.79202</v>
      </c>
      <c r="E18" s="373">
        <f t="shared" si="0"/>
        <v>183.98226666666665</v>
      </c>
      <c r="F18" s="375">
        <f t="shared" si="1"/>
        <v>71.09201999999999</v>
      </c>
    </row>
    <row r="19" spans="1:7" ht="12.75" hidden="1">
      <c r="A19" s="119" t="s">
        <v>13</v>
      </c>
      <c r="B19" s="374"/>
      <c r="C19" s="374">
        <f>C20+C26</f>
        <v>0</v>
      </c>
      <c r="D19" s="374">
        <f>D20+D26</f>
        <v>0</v>
      </c>
      <c r="E19" s="373" t="e">
        <f t="shared" si="0"/>
        <v>#DIV/0!</v>
      </c>
      <c r="F19" s="375">
        <f t="shared" si="1"/>
        <v>0</v>
      </c>
      <c r="G19" s="67"/>
    </row>
    <row r="20" spans="1:7" ht="12.75" hidden="1">
      <c r="A20" s="119" t="s">
        <v>49</v>
      </c>
      <c r="B20" s="374"/>
      <c r="C20" s="374">
        <f>'Дох спец'!B21</f>
        <v>0</v>
      </c>
      <c r="D20" s="374">
        <f>'Дох спец'!D21</f>
        <v>0</v>
      </c>
      <c r="E20" s="373" t="e">
        <f t="shared" si="0"/>
        <v>#DIV/0!</v>
      </c>
      <c r="F20" s="375">
        <f t="shared" si="1"/>
        <v>0</v>
      </c>
      <c r="G20" s="67"/>
    </row>
    <row r="21" spans="1:7" ht="12.75" hidden="1">
      <c r="A21" s="121"/>
      <c r="B21" s="374"/>
      <c r="C21" s="374"/>
      <c r="D21" s="374"/>
      <c r="E21" s="373" t="e">
        <f t="shared" si="0"/>
        <v>#DIV/0!</v>
      </c>
      <c r="F21" s="375">
        <f t="shared" si="1"/>
        <v>0</v>
      </c>
      <c r="G21" s="67"/>
    </row>
    <row r="22" spans="1:7" ht="12.75" hidden="1">
      <c r="A22" s="122"/>
      <c r="B22" s="374"/>
      <c r="C22" s="374"/>
      <c r="D22" s="374"/>
      <c r="E22" s="373" t="e">
        <f t="shared" si="0"/>
        <v>#DIV/0!</v>
      </c>
      <c r="F22" s="375">
        <f t="shared" si="1"/>
        <v>0</v>
      </c>
      <c r="G22" s="67"/>
    </row>
    <row r="23" spans="1:7" ht="12.75" hidden="1">
      <c r="A23" s="123"/>
      <c r="B23" s="374"/>
      <c r="C23" s="374"/>
      <c r="D23" s="374"/>
      <c r="E23" s="373" t="e">
        <f t="shared" si="0"/>
        <v>#DIV/0!</v>
      </c>
      <c r="F23" s="375">
        <f t="shared" si="1"/>
        <v>0</v>
      </c>
      <c r="G23" s="67"/>
    </row>
    <row r="24" spans="1:7" ht="12.75" hidden="1">
      <c r="A24" s="124"/>
      <c r="B24" s="374"/>
      <c r="C24" s="374"/>
      <c r="D24" s="374"/>
      <c r="E24" s="373" t="e">
        <f t="shared" si="0"/>
        <v>#DIV/0!</v>
      </c>
      <c r="F24" s="375">
        <f t="shared" si="1"/>
        <v>0</v>
      </c>
      <c r="G24" s="67"/>
    </row>
    <row r="25" spans="1:7" ht="12.75" hidden="1">
      <c r="A25" s="123" t="s">
        <v>75</v>
      </c>
      <c r="B25" s="374"/>
      <c r="C25" s="374"/>
      <c r="D25" s="374"/>
      <c r="E25" s="373" t="e">
        <f t="shared" si="0"/>
        <v>#DIV/0!</v>
      </c>
      <c r="F25" s="375">
        <f t="shared" si="1"/>
        <v>0</v>
      </c>
      <c r="G25" s="67"/>
    </row>
    <row r="26" spans="1:7" ht="12.75" hidden="1">
      <c r="A26" s="119" t="s">
        <v>15</v>
      </c>
      <c r="B26" s="374"/>
      <c r="C26" s="374">
        <f>'Дох спец'!B20</f>
        <v>0</v>
      </c>
      <c r="D26" s="374">
        <f>'Дох спец'!D20</f>
        <v>0</v>
      </c>
      <c r="E26" s="373" t="e">
        <f t="shared" si="0"/>
        <v>#DIV/0!</v>
      </c>
      <c r="F26" s="375">
        <f t="shared" si="1"/>
        <v>0</v>
      </c>
      <c r="G26" s="67"/>
    </row>
    <row r="27" spans="1:7" ht="25.5" hidden="1">
      <c r="A27" s="125" t="s">
        <v>76</v>
      </c>
      <c r="B27" s="374"/>
      <c r="C27" s="374"/>
      <c r="D27" s="374"/>
      <c r="E27" s="373" t="e">
        <f t="shared" si="0"/>
        <v>#DIV/0!</v>
      </c>
      <c r="F27" s="375">
        <f t="shared" si="1"/>
        <v>0</v>
      </c>
      <c r="G27" s="67"/>
    </row>
    <row r="28" spans="1:6" ht="51" hidden="1">
      <c r="A28" s="119" t="s">
        <v>251</v>
      </c>
      <c r="B28" s="374">
        <f>'Дох спец'!B17</f>
        <v>0</v>
      </c>
      <c r="C28" s="374">
        <f>'Дох спец'!C17</f>
        <v>0</v>
      </c>
      <c r="D28" s="374">
        <f>'Дох спец'!D17</f>
        <v>0</v>
      </c>
      <c r="E28" s="373" t="e">
        <f t="shared" si="0"/>
        <v>#DIV/0!</v>
      </c>
      <c r="F28" s="375">
        <f t="shared" si="1"/>
        <v>0</v>
      </c>
    </row>
    <row r="29" spans="1:6" ht="12.75" hidden="1">
      <c r="A29" s="126" t="s">
        <v>252</v>
      </c>
      <c r="B29" s="374">
        <f>'Дох спец'!B18</f>
        <v>0</v>
      </c>
      <c r="C29" s="374">
        <f>'Дох спец'!C18</f>
        <v>0</v>
      </c>
      <c r="D29" s="374">
        <f>'Дох спец'!D18</f>
        <v>0</v>
      </c>
      <c r="E29" s="373" t="e">
        <f t="shared" si="0"/>
        <v>#DIV/0!</v>
      </c>
      <c r="F29" s="375">
        <f t="shared" si="1"/>
        <v>0</v>
      </c>
    </row>
    <row r="30" spans="1:6" ht="12.75" hidden="1">
      <c r="A30" s="127" t="str">
        <f>'Дох спец'!A34</f>
        <v>Інші субвенції з місцевого бюджету</v>
      </c>
      <c r="B30" s="374"/>
      <c r="C30" s="374"/>
      <c r="D30" s="374"/>
      <c r="E30" s="373" t="e">
        <f t="shared" si="0"/>
        <v>#DIV/0!</v>
      </c>
      <c r="F30" s="375">
        <f t="shared" si="1"/>
        <v>0</v>
      </c>
    </row>
    <row r="31" spans="1:6" ht="38.25" hidden="1">
      <c r="A31" s="127" t="s">
        <v>129</v>
      </c>
      <c r="B31" s="373">
        <f>'Дох спец'!B40</f>
        <v>0</v>
      </c>
      <c r="C31" s="373">
        <f>'Дох спец'!C40</f>
        <v>0</v>
      </c>
      <c r="D31" s="373">
        <f>'Дох спец'!D40</f>
        <v>0</v>
      </c>
      <c r="E31" s="373" t="e">
        <f t="shared" si="0"/>
        <v>#DIV/0!</v>
      </c>
      <c r="F31" s="375">
        <f t="shared" si="1"/>
        <v>0</v>
      </c>
    </row>
    <row r="32" spans="1:6" ht="25.5" hidden="1">
      <c r="A32" s="128" t="s">
        <v>77</v>
      </c>
      <c r="B32" s="373"/>
      <c r="C32" s="373"/>
      <c r="D32" s="373"/>
      <c r="E32" s="373" t="e">
        <f t="shared" si="0"/>
        <v>#DIV/0!</v>
      </c>
      <c r="F32" s="375">
        <f t="shared" si="1"/>
        <v>0</v>
      </c>
    </row>
    <row r="33" spans="1:6" ht="63.75" hidden="1">
      <c r="A33" s="124" t="s">
        <v>78</v>
      </c>
      <c r="B33" s="373"/>
      <c r="C33" s="373"/>
      <c r="D33" s="373"/>
      <c r="E33" s="373" t="e">
        <f t="shared" si="0"/>
        <v>#DIV/0!</v>
      </c>
      <c r="F33" s="375">
        <f t="shared" si="1"/>
        <v>0</v>
      </c>
    </row>
    <row r="34" spans="1:6" ht="38.25" hidden="1">
      <c r="A34" s="127" t="s">
        <v>79</v>
      </c>
      <c r="B34" s="373"/>
      <c r="C34" s="373"/>
      <c r="D34" s="373"/>
      <c r="E34" s="373" t="e">
        <f t="shared" si="0"/>
        <v>#DIV/0!</v>
      </c>
      <c r="F34" s="375">
        <f t="shared" si="1"/>
        <v>0</v>
      </c>
    </row>
    <row r="35" spans="1:6" ht="38.25" hidden="1">
      <c r="A35" s="128" t="s">
        <v>80</v>
      </c>
      <c r="B35" s="373"/>
      <c r="C35" s="373"/>
      <c r="D35" s="373"/>
      <c r="E35" s="373" t="e">
        <f t="shared" si="0"/>
        <v>#DIV/0!</v>
      </c>
      <c r="F35" s="375">
        <f t="shared" si="1"/>
        <v>0</v>
      </c>
    </row>
    <row r="36" spans="1:6" ht="51" hidden="1">
      <c r="A36" s="127" t="s">
        <v>116</v>
      </c>
      <c r="B36" s="373"/>
      <c r="C36" s="373"/>
      <c r="D36" s="373"/>
      <c r="E36" s="373" t="e">
        <f t="shared" si="0"/>
        <v>#DIV/0!</v>
      </c>
      <c r="F36" s="375">
        <f t="shared" si="1"/>
        <v>0</v>
      </c>
    </row>
    <row r="37" spans="1:7" ht="63.75" hidden="1">
      <c r="A37" s="127" t="s">
        <v>98</v>
      </c>
      <c r="B37" s="373"/>
      <c r="C37" s="373">
        <f>'Дох спец'!B37</f>
        <v>0</v>
      </c>
      <c r="D37" s="373">
        <f>'Дох спец'!D37</f>
        <v>0</v>
      </c>
      <c r="E37" s="373" t="e">
        <f t="shared" si="0"/>
        <v>#DIV/0!</v>
      </c>
      <c r="F37" s="375">
        <f t="shared" si="1"/>
        <v>0</v>
      </c>
      <c r="G37" s="68"/>
    </row>
    <row r="38" spans="1:8" ht="38.25">
      <c r="A38" s="126" t="s">
        <v>329</v>
      </c>
      <c r="B38" s="373">
        <f>-кредитование!B18</f>
        <v>1006.612</v>
      </c>
      <c r="C38" s="373">
        <f>-кредитование!C18</f>
        <v>503.306</v>
      </c>
      <c r="D38" s="373">
        <f>-кредитование!D18</f>
        <v>503.306</v>
      </c>
      <c r="E38" s="373">
        <f t="shared" si="0"/>
        <v>50</v>
      </c>
      <c r="F38" s="375">
        <f>D38-C38</f>
        <v>0</v>
      </c>
      <c r="G38" s="68"/>
      <c r="H38" s="68"/>
    </row>
    <row r="39" spans="1:8" ht="25.5">
      <c r="A39" s="126" t="s">
        <v>330</v>
      </c>
      <c r="B39" s="373">
        <f>-кредитование!B20</f>
        <v>2800</v>
      </c>
      <c r="C39" s="373">
        <f>-кредитование!C20</f>
        <v>1750</v>
      </c>
      <c r="D39" s="373">
        <f>-кредитование!D20</f>
        <v>1750</v>
      </c>
      <c r="E39" s="373">
        <f t="shared" si="0"/>
        <v>62.5</v>
      </c>
      <c r="F39" s="375">
        <f t="shared" si="1"/>
        <v>0</v>
      </c>
      <c r="H39" s="68"/>
    </row>
    <row r="40" spans="1:8" ht="25.5">
      <c r="A40" s="126" t="s">
        <v>328</v>
      </c>
      <c r="B40" s="373">
        <f>-кредитование!B22</f>
        <v>1200</v>
      </c>
      <c r="C40" s="373">
        <f>-кредитование!C22</f>
        <v>200</v>
      </c>
      <c r="D40" s="373">
        <f>-кредитование!D22</f>
        <v>200</v>
      </c>
      <c r="E40" s="373">
        <f>D40/B40*100</f>
        <v>16.666666666666664</v>
      </c>
      <c r="F40" s="375">
        <f>D40-C40</f>
        <v>0</v>
      </c>
      <c r="H40" s="68"/>
    </row>
    <row r="41" spans="1:10" ht="25.5">
      <c r="A41" s="394" t="s">
        <v>195</v>
      </c>
      <c r="B41" s="376">
        <f>B8+B9+B11+B13+B14+B15+B18+B38+B39+B28+B29+B30+B16+B40</f>
        <v>9452.892</v>
      </c>
      <c r="C41" s="376">
        <f>C8+C9+C11+C13+C14+C15+C18+C38+C39+C28+C29+C30+C16+C40</f>
        <v>4734.995999999999</v>
      </c>
      <c r="D41" s="376">
        <f>D8+D9+D11+D13+D14+D15+D18+D38+D39+D28+D29+D30+D16+D40</f>
        <v>5536.14248</v>
      </c>
      <c r="E41" s="376">
        <f>D41/B41*100</f>
        <v>58.56559537546817</v>
      </c>
      <c r="F41" s="377">
        <f>D41-C41</f>
        <v>801.1464800000012</v>
      </c>
      <c r="G41" s="68"/>
      <c r="H41" s="68"/>
      <c r="I41" s="68"/>
      <c r="J41" s="68"/>
    </row>
    <row r="42" spans="1:10" ht="12.75">
      <c r="A42" s="117" t="s">
        <v>8</v>
      </c>
      <c r="B42" s="373">
        <f>'Дох спец'!B26</f>
        <v>160613.13498</v>
      </c>
      <c r="C42" s="373" t="s">
        <v>10</v>
      </c>
      <c r="D42" s="373">
        <f>'Дох спец'!D26</f>
        <v>84959.27682</v>
      </c>
      <c r="E42" s="373" t="s">
        <v>10</v>
      </c>
      <c r="F42" s="375" t="s">
        <v>10</v>
      </c>
      <c r="G42" s="68"/>
      <c r="H42" s="68"/>
      <c r="I42" s="68"/>
      <c r="J42" s="68"/>
    </row>
    <row r="43" spans="1:10" ht="12.75">
      <c r="A43" s="394" t="s">
        <v>32</v>
      </c>
      <c r="B43" s="376">
        <f>B41+B42</f>
        <v>170066.02698</v>
      </c>
      <c r="C43" s="376">
        <f>C41</f>
        <v>4734.995999999999</v>
      </c>
      <c r="D43" s="376">
        <f>D41+D42</f>
        <v>90495.4193</v>
      </c>
      <c r="E43" s="376" t="s">
        <v>10</v>
      </c>
      <c r="F43" s="378" t="s">
        <v>10</v>
      </c>
      <c r="G43" s="68"/>
      <c r="H43" s="68"/>
      <c r="I43" s="68"/>
      <c r="J43" s="68"/>
    </row>
    <row r="44" spans="1:10" ht="25.5">
      <c r="A44" s="119" t="s">
        <v>141</v>
      </c>
      <c r="B44" s="373">
        <f>'Дох спец'!B28</f>
        <v>242391.38479</v>
      </c>
      <c r="C44" s="373">
        <f>'Дох спец'!C28</f>
        <v>153088.93069</v>
      </c>
      <c r="D44" s="373">
        <f>'Дох спец'!D28</f>
        <v>84602.18246</v>
      </c>
      <c r="E44" s="373">
        <f aca="true" t="shared" si="2" ref="E44:E50">D44/B44*100</f>
        <v>34.90313095628236</v>
      </c>
      <c r="F44" s="375">
        <f>D44-C44</f>
        <v>-68486.74823000001</v>
      </c>
      <c r="G44" s="68"/>
      <c r="H44" s="68"/>
      <c r="I44" s="68"/>
      <c r="J44" s="68"/>
    </row>
    <row r="45" spans="1:10" ht="54" customHeight="1">
      <c r="A45" s="119" t="s">
        <v>227</v>
      </c>
      <c r="B45" s="373">
        <f>'Дох спец'!B29</f>
        <v>398952.6</v>
      </c>
      <c r="C45" s="373">
        <f>'Дох спец'!C29</f>
        <v>180719.9</v>
      </c>
      <c r="D45" s="373">
        <f>'Дох спец'!D29</f>
        <v>180719.9</v>
      </c>
      <c r="E45" s="373">
        <f t="shared" si="2"/>
        <v>45.298589356229286</v>
      </c>
      <c r="F45" s="375">
        <f aca="true" t="shared" si="3" ref="F45:F50">D45-C45</f>
        <v>0</v>
      </c>
      <c r="G45" s="68"/>
      <c r="H45" s="68"/>
      <c r="I45" s="68"/>
      <c r="J45" s="68"/>
    </row>
    <row r="46" spans="1:10" ht="12.75" hidden="1">
      <c r="A46" s="119" t="s">
        <v>281</v>
      </c>
      <c r="B46" s="368">
        <f>'Дох спец'!B30</f>
        <v>0</v>
      </c>
      <c r="C46" s="368"/>
      <c r="D46" s="368">
        <f>'Дох спец'!D30</f>
        <v>0</v>
      </c>
      <c r="E46" s="368" t="e">
        <f>D46/B46*100</f>
        <v>#DIV/0!</v>
      </c>
      <c r="F46" s="369">
        <f t="shared" si="3"/>
        <v>0</v>
      </c>
      <c r="G46" s="68"/>
      <c r="H46" s="68"/>
      <c r="I46" s="68"/>
      <c r="J46" s="68"/>
    </row>
    <row r="47" spans="1:10" ht="25.5" hidden="1">
      <c r="A47" s="119" t="s">
        <v>228</v>
      </c>
      <c r="B47" s="368">
        <f>'Дох спец'!B33</f>
        <v>0</v>
      </c>
      <c r="C47" s="368">
        <f>'Дох спец'!C33</f>
        <v>0</v>
      </c>
      <c r="D47" s="368">
        <f>'Дох спец'!D33</f>
        <v>0</v>
      </c>
      <c r="E47" s="368" t="e">
        <f t="shared" si="2"/>
        <v>#DIV/0!</v>
      </c>
      <c r="F47" s="369">
        <f t="shared" si="3"/>
        <v>0</v>
      </c>
      <c r="G47" s="68"/>
      <c r="H47" s="68"/>
      <c r="I47" s="68"/>
      <c r="J47" s="68"/>
    </row>
    <row r="48" spans="1:10" ht="12.75" hidden="1">
      <c r="A48" s="119" t="s">
        <v>239</v>
      </c>
      <c r="B48" s="368">
        <f>'Дох спец'!B34</f>
        <v>0</v>
      </c>
      <c r="C48" s="368">
        <f>'Дох спец'!C34</f>
        <v>0</v>
      </c>
      <c r="D48" s="368">
        <f>'Дох спец'!D34</f>
        <v>0</v>
      </c>
      <c r="E48" s="368" t="e">
        <f t="shared" si="2"/>
        <v>#DIV/0!</v>
      </c>
      <c r="F48" s="369">
        <f t="shared" si="3"/>
        <v>0</v>
      </c>
      <c r="G48" s="68"/>
      <c r="H48" s="68"/>
      <c r="I48" s="68"/>
      <c r="J48" s="68"/>
    </row>
    <row r="49" spans="1:10" ht="25.5" hidden="1">
      <c r="A49" s="119" t="s">
        <v>268</v>
      </c>
      <c r="B49" s="368">
        <f>'Дох спец'!B31</f>
        <v>0</v>
      </c>
      <c r="C49" s="368">
        <f>'Дох спец'!C31</f>
        <v>0</v>
      </c>
      <c r="D49" s="368">
        <f>'Дох спец'!D31</f>
        <v>0</v>
      </c>
      <c r="E49" s="368" t="e">
        <f t="shared" si="2"/>
        <v>#DIV/0!</v>
      </c>
      <c r="F49" s="369">
        <f t="shared" si="3"/>
        <v>0</v>
      </c>
      <c r="G49" s="68"/>
      <c r="H49" s="68"/>
      <c r="I49" s="68"/>
      <c r="J49" s="68"/>
    </row>
    <row r="50" spans="1:10" ht="51" hidden="1">
      <c r="A50" s="395" t="s">
        <v>269</v>
      </c>
      <c r="B50" s="368">
        <f>'Дох спец'!B32</f>
        <v>0</v>
      </c>
      <c r="C50" s="368">
        <f>'Дох спец'!C32</f>
        <v>0</v>
      </c>
      <c r="D50" s="368">
        <f>'Дох спец'!D32</f>
        <v>0</v>
      </c>
      <c r="E50" s="368" t="e">
        <f t="shared" si="2"/>
        <v>#DIV/0!</v>
      </c>
      <c r="F50" s="369">
        <f t="shared" si="3"/>
        <v>0</v>
      </c>
      <c r="G50" s="68"/>
      <c r="H50" s="68"/>
      <c r="I50" s="68"/>
      <c r="J50" s="68"/>
    </row>
    <row r="51" spans="1:10" s="75" customFormat="1" ht="12.75">
      <c r="A51" s="394" t="s">
        <v>143</v>
      </c>
      <c r="B51" s="376">
        <f>B44+B43+B47+B48+B45+B49+B50+B46</f>
        <v>811410.01177</v>
      </c>
      <c r="C51" s="376">
        <f>C44+C43+C47+C48+C45+C49+C50+C46</f>
        <v>338543.82669</v>
      </c>
      <c r="D51" s="376">
        <f>D44+D43+D47+D48+D45+D49+D50+D46</f>
        <v>355817.50176</v>
      </c>
      <c r="E51" s="370" t="s">
        <v>10</v>
      </c>
      <c r="F51" s="372" t="s">
        <v>10</v>
      </c>
      <c r="G51" s="130"/>
      <c r="H51" s="130"/>
      <c r="I51" s="130"/>
      <c r="J51" s="130"/>
    </row>
    <row r="52" spans="1:10" ht="13.5" thickBot="1">
      <c r="A52" s="394" t="s">
        <v>306</v>
      </c>
      <c r="B52" s="396" t="s">
        <v>9</v>
      </c>
      <c r="C52" s="396" t="s">
        <v>10</v>
      </c>
      <c r="D52" s="376">
        <v>238390.42109</v>
      </c>
      <c r="E52" s="396" t="s">
        <v>9</v>
      </c>
      <c r="F52" s="397" t="s">
        <v>9</v>
      </c>
      <c r="I52" s="68"/>
      <c r="J52" s="22"/>
    </row>
    <row r="53" spans="1:10" ht="54.75" customHeight="1" hidden="1">
      <c r="A53" s="126" t="s">
        <v>137</v>
      </c>
      <c r="B53" s="368" t="s">
        <v>10</v>
      </c>
      <c r="C53" s="368" t="s">
        <v>10</v>
      </c>
      <c r="D53" s="368"/>
      <c r="E53" s="368" t="s">
        <v>10</v>
      </c>
      <c r="F53" s="369" t="s">
        <v>10</v>
      </c>
      <c r="J53" s="22"/>
    </row>
    <row r="54" spans="1:10" ht="27" customHeight="1" hidden="1" thickBot="1">
      <c r="A54" s="240" t="s">
        <v>136</v>
      </c>
      <c r="B54" s="398" t="s">
        <v>10</v>
      </c>
      <c r="C54" s="398" t="s">
        <v>10</v>
      </c>
      <c r="D54" s="388">
        <f>D52+D53</f>
        <v>238390.42109</v>
      </c>
      <c r="E54" s="398" t="s">
        <v>10</v>
      </c>
      <c r="F54" s="399" t="s">
        <v>10</v>
      </c>
      <c r="J54" s="22"/>
    </row>
    <row r="55" spans="1:6" ht="26.25" thickBot="1">
      <c r="A55" s="241" t="s">
        <v>319</v>
      </c>
      <c r="B55" s="400" t="s">
        <v>9</v>
      </c>
      <c r="C55" s="400" t="s">
        <v>10</v>
      </c>
      <c r="D55" s="379">
        <f>D51+D52</f>
        <v>594207.92285</v>
      </c>
      <c r="E55" s="400" t="s">
        <v>9</v>
      </c>
      <c r="F55" s="401" t="s">
        <v>9</v>
      </c>
    </row>
    <row r="56" spans="1:6" ht="12.75" hidden="1">
      <c r="A56" s="242"/>
      <c r="B56" s="402"/>
      <c r="C56" s="402"/>
      <c r="D56" s="403"/>
      <c r="E56" s="402"/>
      <c r="F56" s="404"/>
    </row>
    <row r="57" spans="1:6" ht="12.75" hidden="1">
      <c r="A57" s="243"/>
      <c r="B57" s="396"/>
      <c r="C57" s="396"/>
      <c r="D57" s="370"/>
      <c r="E57" s="396"/>
      <c r="F57" s="397"/>
    </row>
    <row r="58" spans="1:6" ht="12.75" hidden="1">
      <c r="A58" s="243"/>
      <c r="B58" s="396"/>
      <c r="C58" s="396"/>
      <c r="D58" s="370"/>
      <c r="E58" s="396"/>
      <c r="F58" s="397"/>
    </row>
    <row r="59" spans="1:6" ht="12.75" hidden="1">
      <c r="A59" s="244"/>
      <c r="B59" s="398"/>
      <c r="C59" s="398"/>
      <c r="D59" s="388"/>
      <c r="E59" s="398"/>
      <c r="F59" s="399"/>
    </row>
    <row r="60" spans="1:6" s="57" customFormat="1" ht="28.5" customHeight="1">
      <c r="A60" s="227" t="str">
        <f>A3</f>
        <v>Найменування показників</v>
      </c>
      <c r="B60" s="229" t="str">
        <f>B3</f>
        <v>План на              2019 рік </v>
      </c>
      <c r="C60" s="225" t="str">
        <f>C3</f>
        <v>План на             перше півріччя               2019 року</v>
      </c>
      <c r="D60" s="231" t="s">
        <v>23</v>
      </c>
      <c r="E60" s="231" t="str">
        <f>E3</f>
        <v>% виконання до плану на                                І півріччя                     2019 року</v>
      </c>
      <c r="F60" s="235" t="s">
        <v>24</v>
      </c>
    </row>
    <row r="61" spans="1:6" s="57" customFormat="1" ht="18" customHeight="1">
      <c r="A61" s="228"/>
      <c r="B61" s="230"/>
      <c r="C61" s="226"/>
      <c r="D61" s="230"/>
      <c r="E61" s="230"/>
      <c r="F61" s="236"/>
    </row>
    <row r="62" spans="1:6" ht="15" customHeight="1">
      <c r="A62" s="232" t="s">
        <v>25</v>
      </c>
      <c r="B62" s="233"/>
      <c r="C62" s="233"/>
      <c r="D62" s="233"/>
      <c r="E62" s="233"/>
      <c r="F62" s="234"/>
    </row>
    <row r="63" spans="1:6" ht="12.75" hidden="1">
      <c r="A63" s="149" t="s">
        <v>7</v>
      </c>
      <c r="B63" s="405"/>
      <c r="C63" s="405"/>
      <c r="D63" s="405"/>
      <c r="E63" s="405"/>
      <c r="F63" s="406"/>
    </row>
    <row r="64" spans="1:6" ht="25.5">
      <c r="A64" s="127" t="s">
        <v>214</v>
      </c>
      <c r="B64" s="373">
        <f>'Видатки спец'!B11</f>
        <v>6332.28193</v>
      </c>
      <c r="C64" s="373">
        <f>'Видатки спец'!C11</f>
        <v>4186.98193</v>
      </c>
      <c r="D64" s="373">
        <f>'Видатки спец'!E11</f>
        <v>74</v>
      </c>
      <c r="E64" s="373">
        <f>D64/B64*100</f>
        <v>1.168615055647088</v>
      </c>
      <c r="F64" s="375">
        <f>D64-C64</f>
        <v>-4112.98193</v>
      </c>
    </row>
    <row r="65" spans="1:6" ht="38.25">
      <c r="A65" s="127" t="s">
        <v>318</v>
      </c>
      <c r="B65" s="373">
        <f>'Видатки спец'!B13</f>
        <v>6150</v>
      </c>
      <c r="C65" s="373">
        <f>'Видатки спец'!C13</f>
        <v>6150</v>
      </c>
      <c r="D65" s="373">
        <f>'Видатки спец'!E13</f>
        <v>0</v>
      </c>
      <c r="E65" s="373">
        <f aca="true" t="shared" si="4" ref="E65:E101">D65/B65*100</f>
        <v>0</v>
      </c>
      <c r="F65" s="375">
        <f aca="true" t="shared" si="5" ref="F65:F101">D65-C65</f>
        <v>-6150</v>
      </c>
    </row>
    <row r="66" spans="1:6" ht="25.5">
      <c r="A66" s="127" t="str">
        <f>'Видатки спец'!A14</f>
        <v>Департамент будівництва та розвитку інфраструктури (фонд охорони навколишнього природного середовища)</v>
      </c>
      <c r="B66" s="373">
        <f>'Видатки спец'!B14</f>
        <v>1410</v>
      </c>
      <c r="C66" s="373">
        <f>'Видатки спец'!C14</f>
        <v>1410</v>
      </c>
      <c r="D66" s="373">
        <f>'Видатки спец'!E14</f>
        <v>156.7164</v>
      </c>
      <c r="E66" s="373">
        <f t="shared" si="4"/>
        <v>11.11463829787234</v>
      </c>
      <c r="F66" s="375">
        <f t="shared" si="5"/>
        <v>-1253.2836</v>
      </c>
    </row>
    <row r="67" spans="1:6" ht="51">
      <c r="A67" s="127" t="str">
        <f>'Видатки спец'!A18</f>
        <v>Департамент будівництва та розвитку інфраструктури Херсонської обласної державної адміністрації  (видатки на проведення робіт з будівництва, реконструкції, ремонту та утримання автомобільних доріг)</v>
      </c>
      <c r="B67" s="373">
        <f>'Видатки спец'!B18</f>
        <v>473795.934</v>
      </c>
      <c r="C67" s="373">
        <f>'Видатки спец'!C18</f>
        <v>255563.234</v>
      </c>
      <c r="D67" s="373">
        <f>'Видатки спец'!E18</f>
        <v>140715.69099</v>
      </c>
      <c r="E67" s="373">
        <f t="shared" si="4"/>
        <v>29.69964089856457</v>
      </c>
      <c r="F67" s="375">
        <f t="shared" si="5"/>
        <v>-114847.54301</v>
      </c>
    </row>
    <row r="68" spans="1:6" ht="25.5" hidden="1">
      <c r="A68" s="127" t="str">
        <f>'Видатки спец'!A19</f>
        <v>Департамент будівництва та розвитку інфраструктури Херсонської обласної державної адміністрації  (цільовий фонд)</v>
      </c>
      <c r="B68" s="373">
        <f>'Видатки спец'!B19</f>
        <v>0</v>
      </c>
      <c r="C68" s="373"/>
      <c r="D68" s="373">
        <f>'Видатки спец'!E19</f>
        <v>0</v>
      </c>
      <c r="E68" s="373" t="e">
        <f t="shared" si="4"/>
        <v>#DIV/0!</v>
      </c>
      <c r="F68" s="375">
        <f t="shared" si="5"/>
        <v>0</v>
      </c>
    </row>
    <row r="69" spans="1:6" ht="63.75" hidden="1">
      <c r="A69" s="127" t="s">
        <v>191</v>
      </c>
      <c r="B69" s="373"/>
      <c r="C69" s="373"/>
      <c r="D69" s="373"/>
      <c r="E69" s="373" t="e">
        <f t="shared" si="4"/>
        <v>#DIV/0!</v>
      </c>
      <c r="F69" s="375">
        <f t="shared" si="5"/>
        <v>0</v>
      </c>
    </row>
    <row r="70" spans="1:6" ht="25.5" hidden="1">
      <c r="A70" s="127" t="s">
        <v>87</v>
      </c>
      <c r="B70" s="373"/>
      <c r="C70" s="373">
        <f>'[1]Видатки спец'!B19</f>
        <v>0</v>
      </c>
      <c r="D70" s="373">
        <f>'[1]Видатки спец'!E19</f>
        <v>0</v>
      </c>
      <c r="E70" s="373" t="e">
        <f t="shared" si="4"/>
        <v>#DIV/0!</v>
      </c>
      <c r="F70" s="375">
        <f t="shared" si="5"/>
        <v>0</v>
      </c>
    </row>
    <row r="71" spans="1:6" ht="38.25" hidden="1">
      <c r="A71" s="127" t="s">
        <v>162</v>
      </c>
      <c r="B71" s="373">
        <f>'Видатки спец'!B17</f>
        <v>0</v>
      </c>
      <c r="C71" s="373">
        <f>'Видатки спец'!C17</f>
        <v>0</v>
      </c>
      <c r="D71" s="373">
        <f>'Видатки спец'!E17</f>
        <v>0</v>
      </c>
      <c r="E71" s="373" t="e">
        <f t="shared" si="4"/>
        <v>#DIV/0!</v>
      </c>
      <c r="F71" s="375">
        <f t="shared" si="5"/>
        <v>0</v>
      </c>
    </row>
    <row r="72" spans="1:6" ht="38.25" hidden="1">
      <c r="A72" s="127" t="s">
        <v>64</v>
      </c>
      <c r="B72" s="373"/>
      <c r="C72" s="373">
        <f>'Видатки спец'!B15</f>
        <v>0</v>
      </c>
      <c r="D72" s="373">
        <f>'Видатки спец'!E15</f>
        <v>0</v>
      </c>
      <c r="E72" s="373" t="e">
        <f t="shared" si="4"/>
        <v>#DIV/0!</v>
      </c>
      <c r="F72" s="375">
        <f t="shared" si="5"/>
        <v>0</v>
      </c>
    </row>
    <row r="73" spans="1:6" ht="25.5" hidden="1">
      <c r="A73" s="127" t="s">
        <v>161</v>
      </c>
      <c r="B73" s="373">
        <f>'Видатки спец'!B21</f>
        <v>0</v>
      </c>
      <c r="C73" s="373">
        <f>'Видатки спец'!C21</f>
        <v>0</v>
      </c>
      <c r="D73" s="373">
        <f>'Видатки спец'!E21</f>
        <v>0</v>
      </c>
      <c r="E73" s="373" t="e">
        <f t="shared" si="4"/>
        <v>#DIV/0!</v>
      </c>
      <c r="F73" s="375">
        <f t="shared" si="5"/>
        <v>0</v>
      </c>
    </row>
    <row r="74" spans="1:6" ht="153" hidden="1">
      <c r="A74" s="127" t="str">
        <f>'Видатки спец'!A22</f>
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v>
      </c>
      <c r="B74" s="373">
        <f>'Видатки спец'!B22</f>
        <v>0</v>
      </c>
      <c r="C74" s="373">
        <f>'Видатки спец'!B22</f>
        <v>0</v>
      </c>
      <c r="D74" s="373">
        <f>'Видатки спец'!E22</f>
        <v>0</v>
      </c>
      <c r="E74" s="373" t="e">
        <f t="shared" si="4"/>
        <v>#DIV/0!</v>
      </c>
      <c r="F74" s="375">
        <f t="shared" si="5"/>
        <v>0</v>
      </c>
    </row>
    <row r="75" spans="1:6" ht="12.75" hidden="1">
      <c r="A75" s="127" t="s">
        <v>63</v>
      </c>
      <c r="B75" s="373"/>
      <c r="C75" s="373">
        <f>'Видатки спец'!B20</f>
        <v>0</v>
      </c>
      <c r="D75" s="373">
        <f>'Видатки спец'!E20</f>
        <v>0</v>
      </c>
      <c r="E75" s="373" t="e">
        <f t="shared" si="4"/>
        <v>#DIV/0!</v>
      </c>
      <c r="F75" s="375">
        <f t="shared" si="5"/>
        <v>0</v>
      </c>
    </row>
    <row r="76" spans="1:7" ht="12.75">
      <c r="A76" s="127" t="s">
        <v>106</v>
      </c>
      <c r="B76" s="373">
        <f>'Видатки спец'!B23</f>
        <v>369051.15525999997</v>
      </c>
      <c r="C76" s="373">
        <f>'Видатки спец'!C23</f>
        <v>278566.55916</v>
      </c>
      <c r="D76" s="373">
        <f>'Видатки спец'!E23</f>
        <v>76920.90976999998</v>
      </c>
      <c r="E76" s="373">
        <f t="shared" si="4"/>
        <v>20.8428855115786</v>
      </c>
      <c r="F76" s="375">
        <f t="shared" si="5"/>
        <v>-201645.64939000004</v>
      </c>
      <c r="G76" s="68"/>
    </row>
    <row r="77" spans="1:8" ht="12.75">
      <c r="A77" s="127" t="str">
        <f>'Видатки спец'!A24</f>
        <v> - управління культури</v>
      </c>
      <c r="B77" s="373">
        <f>'Видатки спец'!B24</f>
        <v>1625</v>
      </c>
      <c r="C77" s="373">
        <f>'Видатки спец'!C24</f>
        <v>500</v>
      </c>
      <c r="D77" s="373">
        <f>'Видатки спец'!E24</f>
        <v>399.36</v>
      </c>
      <c r="E77" s="373">
        <f t="shared" si="4"/>
        <v>24.576</v>
      </c>
      <c r="F77" s="375">
        <f t="shared" si="5"/>
        <v>-100.63999999999999</v>
      </c>
      <c r="H77" s="68"/>
    </row>
    <row r="78" spans="1:6" ht="12.75">
      <c r="A78" s="127" t="str">
        <f>'Видатки спец'!A25</f>
        <v> - департамент охорони здоров'я </v>
      </c>
      <c r="B78" s="373">
        <f>'Видатки спец'!B25</f>
        <v>108302.64</v>
      </c>
      <c r="C78" s="373">
        <f>'Видатки спец'!C25</f>
        <v>56514.69</v>
      </c>
      <c r="D78" s="373">
        <f>'Видатки спец'!E25</f>
        <v>32185.36044</v>
      </c>
      <c r="E78" s="373">
        <f t="shared" si="4"/>
        <v>29.71798327353793</v>
      </c>
      <c r="F78" s="375">
        <f t="shared" si="5"/>
        <v>-24329.329560000002</v>
      </c>
    </row>
    <row r="79" spans="1:6" ht="12.75">
      <c r="A79" s="127" t="str">
        <f>'Видатки спец'!A26</f>
        <v> - департамент освіти, науки та молоді</v>
      </c>
      <c r="B79" s="373">
        <f>'Видатки спец'!B26</f>
        <v>40537.16759</v>
      </c>
      <c r="C79" s="373">
        <f>'Видатки спец'!C26</f>
        <v>23813.66159</v>
      </c>
      <c r="D79" s="373">
        <f>'Видатки спец'!E26</f>
        <v>11430.20419</v>
      </c>
      <c r="E79" s="373">
        <f t="shared" si="4"/>
        <v>28.196849630953707</v>
      </c>
      <c r="F79" s="375">
        <f t="shared" si="5"/>
        <v>-12383.4574</v>
      </c>
    </row>
    <row r="80" spans="1:8" ht="12.75" hidden="1">
      <c r="A80" s="127" t="str">
        <f>'Видатки спец'!A27</f>
        <v> - Херсонська обласна державна адміністрація</v>
      </c>
      <c r="B80" s="373">
        <f>'Видатки спец'!B27</f>
        <v>0</v>
      </c>
      <c r="C80" s="373">
        <f>'Видатки спец'!C27</f>
        <v>0</v>
      </c>
      <c r="D80" s="373">
        <f>'Видатки спец'!E27</f>
        <v>0</v>
      </c>
      <c r="E80" s="373" t="e">
        <f t="shared" si="4"/>
        <v>#DIV/0!</v>
      </c>
      <c r="F80" s="375">
        <f t="shared" si="5"/>
        <v>0</v>
      </c>
      <c r="H80" s="68"/>
    </row>
    <row r="81" spans="1:6" ht="12.75" hidden="1">
      <c r="A81" s="127" t="str">
        <f>'Видатки спец'!A28</f>
        <v> - служба у справах дітей</v>
      </c>
      <c r="B81" s="373">
        <f>'Видатки спец'!B28</f>
        <v>0</v>
      </c>
      <c r="C81" s="373">
        <f>'Видатки спец'!C28</f>
        <v>0</v>
      </c>
      <c r="D81" s="373">
        <f>'Видатки спец'!D28</f>
        <v>0</v>
      </c>
      <c r="E81" s="373" t="e">
        <f t="shared" si="4"/>
        <v>#DIV/0!</v>
      </c>
      <c r="F81" s="375">
        <f t="shared" si="5"/>
        <v>0</v>
      </c>
    </row>
    <row r="82" spans="1:6" ht="12.75" hidden="1">
      <c r="A82" s="127" t="str">
        <f>'Видатки спец'!A29</f>
        <v> - Херсонська обласна рада</v>
      </c>
      <c r="B82" s="373">
        <f>'Видатки спец'!B29</f>
        <v>0</v>
      </c>
      <c r="C82" s="373">
        <f>'Видатки спец'!C29</f>
        <v>0</v>
      </c>
      <c r="D82" s="373">
        <f>'Видатки спец'!E29</f>
        <v>0</v>
      </c>
      <c r="E82" s="373" t="e">
        <f t="shared" si="4"/>
        <v>#DIV/0!</v>
      </c>
      <c r="F82" s="375">
        <f t="shared" si="5"/>
        <v>0</v>
      </c>
    </row>
    <row r="83" spans="1:8" ht="12.75">
      <c r="A83" s="127" t="str">
        <f>'Видатки спец'!A30</f>
        <v> - управління транспортно-комунікаційної інфраструктури</v>
      </c>
      <c r="B83" s="373">
        <f>'Видатки спец'!B30</f>
        <v>174.65</v>
      </c>
      <c r="C83" s="373">
        <f>'Видатки спец'!C30</f>
        <v>174.65</v>
      </c>
      <c r="D83" s="373">
        <f>'Видатки спец'!E30</f>
        <v>174.65</v>
      </c>
      <c r="E83" s="373">
        <f t="shared" si="4"/>
        <v>100</v>
      </c>
      <c r="F83" s="375">
        <f t="shared" si="5"/>
        <v>0</v>
      </c>
      <c r="H83" s="68"/>
    </row>
    <row r="84" spans="1:6" ht="12.75" hidden="1">
      <c r="A84" s="127" t="str">
        <f>'Видатки спец'!A33</f>
        <v> - департамент соціального захисту населення</v>
      </c>
      <c r="B84" s="373">
        <f>'Видатки спец'!B33</f>
        <v>300</v>
      </c>
      <c r="C84" s="373">
        <f>'Видатки спец'!C33</f>
        <v>0</v>
      </c>
      <c r="D84" s="373">
        <f>'Видатки спец'!E33</f>
        <v>0</v>
      </c>
      <c r="E84" s="373">
        <f t="shared" si="4"/>
        <v>0</v>
      </c>
      <c r="F84" s="375">
        <f t="shared" si="5"/>
        <v>0</v>
      </c>
    </row>
    <row r="85" spans="1:6" ht="12.75">
      <c r="A85" s="127" t="str">
        <f>'Видатки спец'!A31</f>
        <v> - управління з питань фізичної культури та спорту</v>
      </c>
      <c r="B85" s="373">
        <f>'Видатки спец'!B31</f>
        <v>10193</v>
      </c>
      <c r="C85" s="373">
        <f>'Видатки спец'!C31</f>
        <v>6993</v>
      </c>
      <c r="D85" s="373">
        <f>'Видатки спец'!E31</f>
        <v>192</v>
      </c>
      <c r="E85" s="373">
        <f t="shared" si="4"/>
        <v>1.883645639164132</v>
      </c>
      <c r="F85" s="375">
        <f t="shared" si="5"/>
        <v>-6801</v>
      </c>
    </row>
    <row r="86" spans="1:6" ht="25.5">
      <c r="A86" s="127" t="str">
        <f>'Видатки спец'!A36</f>
        <v>- департамент житлово-комунального господарства та паливно-енергетичного комплексу</v>
      </c>
      <c r="B86" s="373">
        <f>'Видатки спец'!B36</f>
        <v>9207.44</v>
      </c>
      <c r="C86" s="373">
        <f>'Видатки спец'!C36</f>
        <v>2838.159</v>
      </c>
      <c r="D86" s="373">
        <f>'Видатки спец'!E36</f>
        <v>0</v>
      </c>
      <c r="E86" s="373">
        <f t="shared" si="4"/>
        <v>0</v>
      </c>
      <c r="F86" s="375">
        <f t="shared" si="5"/>
        <v>-2838.159</v>
      </c>
    </row>
    <row r="87" spans="1:6" ht="25.5" customHeight="1" hidden="1">
      <c r="A87" s="127" t="s">
        <v>81</v>
      </c>
      <c r="B87" s="373"/>
      <c r="C87" s="373"/>
      <c r="D87" s="373"/>
      <c r="E87" s="373" t="e">
        <f t="shared" si="4"/>
        <v>#DIV/0!</v>
      </c>
      <c r="F87" s="375">
        <f t="shared" si="5"/>
        <v>0</v>
      </c>
    </row>
    <row r="88" spans="1:6" ht="12.75" hidden="1">
      <c r="A88" s="127" t="str">
        <f>'Видатки спец'!A35</f>
        <v>- управління містобудування та архітектури</v>
      </c>
      <c r="B88" s="373">
        <f>'Видатки спец'!B35</f>
        <v>0</v>
      </c>
      <c r="C88" s="373">
        <f>'Видатки спец'!C35</f>
        <v>0</v>
      </c>
      <c r="D88" s="373">
        <f>'Видатки спец'!E35</f>
        <v>0</v>
      </c>
      <c r="E88" s="373" t="e">
        <f t="shared" si="4"/>
        <v>#DIV/0!</v>
      </c>
      <c r="F88" s="375">
        <f t="shared" si="5"/>
        <v>0</v>
      </c>
    </row>
    <row r="89" spans="1:6" ht="63.75" hidden="1">
      <c r="A89" s="127" t="s">
        <v>117</v>
      </c>
      <c r="B89" s="373"/>
      <c r="C89" s="373"/>
      <c r="D89" s="373">
        <f>'[1]Видатки спец'!E31</f>
        <v>0</v>
      </c>
      <c r="E89" s="373" t="e">
        <f t="shared" si="4"/>
        <v>#DIV/0!</v>
      </c>
      <c r="F89" s="375">
        <f t="shared" si="5"/>
        <v>0</v>
      </c>
    </row>
    <row r="90" spans="1:6" ht="12.75" hidden="1">
      <c r="A90" s="127" t="str">
        <f>'Видатки спец'!A32</f>
        <v> - департамент з питань цивільного захисту та оборонної роботи</v>
      </c>
      <c r="B90" s="373"/>
      <c r="C90" s="373"/>
      <c r="D90" s="373"/>
      <c r="E90" s="373" t="e">
        <f t="shared" si="4"/>
        <v>#DIV/0!</v>
      </c>
      <c r="F90" s="375">
        <f t="shared" si="5"/>
        <v>0</v>
      </c>
    </row>
    <row r="91" spans="1:6" ht="12.75">
      <c r="A91" s="127" t="str">
        <f>'Видатки спец'!A33</f>
        <v> - департамент соціального захисту населення</v>
      </c>
      <c r="B91" s="373">
        <f>'Видатки спец'!B33</f>
        <v>300</v>
      </c>
      <c r="C91" s="373">
        <f>'Видатки спец'!C33</f>
        <v>0</v>
      </c>
      <c r="D91" s="373">
        <f>'Видатки спец'!E33</f>
        <v>0</v>
      </c>
      <c r="E91" s="373">
        <f t="shared" si="4"/>
        <v>0</v>
      </c>
      <c r="F91" s="375">
        <f t="shared" si="5"/>
        <v>0</v>
      </c>
    </row>
    <row r="92" spans="1:6" ht="12.75">
      <c r="A92" s="127" t="str">
        <f>'Видатки спец'!A34</f>
        <v> - департамент будівництва та розвитку інфраструктури</v>
      </c>
      <c r="B92" s="373">
        <f>'Видатки спец'!B34</f>
        <v>198711.25766999996</v>
      </c>
      <c r="C92" s="373">
        <f>'Видатки спец'!C34</f>
        <v>187732.39857000002</v>
      </c>
      <c r="D92" s="373">
        <f>'Видатки спец'!E34</f>
        <v>32539.335139999985</v>
      </c>
      <c r="E92" s="373">
        <f t="shared" si="4"/>
        <v>16.375184537374373</v>
      </c>
      <c r="F92" s="375">
        <f t="shared" si="5"/>
        <v>-155193.06343000004</v>
      </c>
    </row>
    <row r="93" spans="1:6" ht="12.75" hidden="1">
      <c r="A93" s="127" t="s">
        <v>197</v>
      </c>
      <c r="B93" s="373">
        <f>'Видатки спец'!B32</f>
        <v>0</v>
      </c>
      <c r="C93" s="373">
        <f>'Видатки спец'!C32</f>
        <v>0</v>
      </c>
      <c r="D93" s="373">
        <f>'Видатки спец'!E32</f>
        <v>0</v>
      </c>
      <c r="E93" s="373" t="e">
        <f t="shared" si="4"/>
        <v>#DIV/0!</v>
      </c>
      <c r="F93" s="375">
        <f t="shared" si="5"/>
        <v>0</v>
      </c>
    </row>
    <row r="94" spans="1:6" ht="12.75" hidden="1">
      <c r="A94" s="127" t="str">
        <f>'Видатки спец'!A37</f>
        <v>- департамент агропромислового розвитку</v>
      </c>
      <c r="B94" s="373">
        <f>'Видатки спец'!B37</f>
        <v>0</v>
      </c>
      <c r="C94" s="373">
        <f>'Видатки спец'!C37</f>
        <v>0</v>
      </c>
      <c r="D94" s="373">
        <f>'Видатки спец'!E37</f>
        <v>0</v>
      </c>
      <c r="E94" s="373" t="e">
        <f t="shared" si="4"/>
        <v>#DIV/0!</v>
      </c>
      <c r="F94" s="375">
        <f t="shared" si="5"/>
        <v>0</v>
      </c>
    </row>
    <row r="95" spans="1:6" ht="63.75" hidden="1">
      <c r="A95" s="127" t="s">
        <v>99</v>
      </c>
      <c r="B95" s="373">
        <f>'Видатки спец'!B41</f>
        <v>0</v>
      </c>
      <c r="C95" s="373">
        <f>'Видатки спец'!C41</f>
        <v>0</v>
      </c>
      <c r="D95" s="373">
        <f>'Видатки спец'!E41</f>
        <v>0</v>
      </c>
      <c r="E95" s="373" t="e">
        <f t="shared" si="4"/>
        <v>#DIV/0!</v>
      </c>
      <c r="F95" s="375">
        <f t="shared" si="5"/>
        <v>0</v>
      </c>
    </row>
    <row r="96" spans="1:6" ht="38.25" hidden="1">
      <c r="A96" s="127" t="s">
        <v>130</v>
      </c>
      <c r="B96" s="373">
        <f>'Видатки спец'!B42</f>
        <v>0</v>
      </c>
      <c r="C96" s="373">
        <f>'Видатки спец'!C42</f>
        <v>0</v>
      </c>
      <c r="D96" s="373">
        <f>'Видатки спец'!E42</f>
        <v>0</v>
      </c>
      <c r="E96" s="373" t="e">
        <f t="shared" si="4"/>
        <v>#DIV/0!</v>
      </c>
      <c r="F96" s="375">
        <f t="shared" si="5"/>
        <v>0</v>
      </c>
    </row>
    <row r="97" spans="1:6" ht="63.75" hidden="1">
      <c r="A97" s="127" t="s">
        <v>98</v>
      </c>
      <c r="B97" s="373"/>
      <c r="C97" s="373">
        <f>'Видатки спец'!B45</f>
        <v>0</v>
      </c>
      <c r="D97" s="373">
        <f>'Видатки спец'!E45</f>
        <v>0</v>
      </c>
      <c r="E97" s="373" t="e">
        <f t="shared" si="4"/>
        <v>#DIV/0!</v>
      </c>
      <c r="F97" s="375">
        <f t="shared" si="5"/>
        <v>0</v>
      </c>
    </row>
    <row r="98" spans="1:6" ht="114.75" hidden="1">
      <c r="A98" s="127" t="s">
        <v>158</v>
      </c>
      <c r="B98" s="373">
        <f>'Видатки спец'!B43</f>
        <v>0</v>
      </c>
      <c r="C98" s="373">
        <f>'Видатки спец'!C43</f>
        <v>0</v>
      </c>
      <c r="D98" s="373">
        <f>'Видатки спец'!E43</f>
        <v>0</v>
      </c>
      <c r="E98" s="373" t="e">
        <f t="shared" si="4"/>
        <v>#DIV/0!</v>
      </c>
      <c r="F98" s="375">
        <f t="shared" si="5"/>
        <v>0</v>
      </c>
    </row>
    <row r="99" spans="1:6" ht="38.25" hidden="1">
      <c r="A99" s="127" t="s">
        <v>129</v>
      </c>
      <c r="B99" s="373">
        <f>'Видатки спец'!B44</f>
        <v>0</v>
      </c>
      <c r="C99" s="373">
        <f>'Видатки спец'!C44</f>
        <v>0</v>
      </c>
      <c r="D99" s="373">
        <f>'Видатки спец'!E44</f>
        <v>0</v>
      </c>
      <c r="E99" s="373" t="e">
        <f t="shared" si="4"/>
        <v>#DIV/0!</v>
      </c>
      <c r="F99" s="375">
        <f t="shared" si="5"/>
        <v>0</v>
      </c>
    </row>
    <row r="100" spans="1:7" ht="25.5">
      <c r="A100" s="127" t="s">
        <v>321</v>
      </c>
      <c r="B100" s="373">
        <f>кредитование!B17</f>
        <v>1045.192</v>
      </c>
      <c r="C100" s="373">
        <f>кредитование!C17</f>
        <v>522.596</v>
      </c>
      <c r="D100" s="373">
        <f>кредитование!E17</f>
        <v>433.99</v>
      </c>
      <c r="E100" s="373">
        <f t="shared" si="4"/>
        <v>41.52251452364733</v>
      </c>
      <c r="F100" s="375">
        <f t="shared" si="5"/>
        <v>-88.606</v>
      </c>
      <c r="G100" s="68"/>
    </row>
    <row r="101" spans="1:9" ht="25.5">
      <c r="A101" s="127" t="s">
        <v>322</v>
      </c>
      <c r="B101" s="373">
        <f>кредитование!B19</f>
        <v>2800</v>
      </c>
      <c r="C101" s="373">
        <f>кредитование!C19</f>
        <v>1750</v>
      </c>
      <c r="D101" s="373">
        <f>кредитование!E19</f>
        <v>1735</v>
      </c>
      <c r="E101" s="373">
        <f t="shared" si="4"/>
        <v>61.964285714285715</v>
      </c>
      <c r="F101" s="375">
        <f t="shared" si="5"/>
        <v>-15</v>
      </c>
      <c r="H101" s="68"/>
      <c r="I101" s="68"/>
    </row>
    <row r="102" spans="1:9" ht="26.25" thickBot="1">
      <c r="A102" s="131" t="s">
        <v>323</v>
      </c>
      <c r="B102" s="381">
        <f>кредитование!B21</f>
        <v>1200</v>
      </c>
      <c r="C102" s="381">
        <f>кредитование!C21</f>
        <v>200</v>
      </c>
      <c r="D102" s="381">
        <f>кредитование!E21</f>
        <v>0</v>
      </c>
      <c r="E102" s="373">
        <f>D102/B102*100</f>
        <v>0</v>
      </c>
      <c r="F102" s="375">
        <f>D102-C102</f>
        <v>-200</v>
      </c>
      <c r="H102" s="68"/>
      <c r="I102" s="68"/>
    </row>
    <row r="103" spans="1:8" s="75" customFormat="1" ht="16.5" customHeight="1" thickBot="1">
      <c r="A103" s="407" t="s">
        <v>82</v>
      </c>
      <c r="B103" s="382">
        <f>B64+B65+B73+B76+B100+B101+B66+B67+B74+B68+B102</f>
        <v>861784.5631899999</v>
      </c>
      <c r="C103" s="382">
        <f>C64+C65+C73+C76+C100+C101+C66+C67+C74+C68+C102</f>
        <v>548349.37109</v>
      </c>
      <c r="D103" s="382">
        <f>D64+D65+D73+D76+D100+D101+D66+D67+D74+D68+D102</f>
        <v>220036.30716</v>
      </c>
      <c r="E103" s="382">
        <f>D103/B103*100</f>
        <v>25.532635017910856</v>
      </c>
      <c r="F103" s="383">
        <f>D103-C103</f>
        <v>-328313.06393000006</v>
      </c>
      <c r="G103" s="130"/>
      <c r="H103" s="130"/>
    </row>
    <row r="104" spans="1:8" s="75" customFormat="1" ht="12.75">
      <c r="A104" s="139" t="s">
        <v>16</v>
      </c>
      <c r="B104" s="384">
        <f>'Видатки спец'!B39</f>
        <v>187812.38462</v>
      </c>
      <c r="C104" s="380" t="s">
        <v>10</v>
      </c>
      <c r="D104" s="384">
        <f>'Видатки спец'!E39</f>
        <v>80867.23218</v>
      </c>
      <c r="E104" s="380" t="s">
        <v>10</v>
      </c>
      <c r="F104" s="408" t="s">
        <v>10</v>
      </c>
      <c r="G104" s="130"/>
      <c r="H104" s="130"/>
    </row>
    <row r="105" spans="1:10" s="29" customFormat="1" ht="51">
      <c r="A105" s="132" t="s">
        <v>324</v>
      </c>
      <c r="B105" s="385" t="s">
        <v>10</v>
      </c>
      <c r="C105" s="385" t="s">
        <v>10</v>
      </c>
      <c r="D105" s="393">
        <v>-2476.723</v>
      </c>
      <c r="E105" s="385" t="s">
        <v>10</v>
      </c>
      <c r="F105" s="386" t="s">
        <v>10</v>
      </c>
      <c r="I105" s="133"/>
      <c r="J105" s="134"/>
    </row>
    <row r="106" spans="1:8" s="75" customFormat="1" ht="21" customHeight="1" thickBot="1">
      <c r="A106" s="409" t="s">
        <v>135</v>
      </c>
      <c r="B106" s="391">
        <f>SUM(B103+B104)</f>
        <v>1049596.9478099998</v>
      </c>
      <c r="C106" s="391">
        <f>SUM(C103)</f>
        <v>548349.37109</v>
      </c>
      <c r="D106" s="391">
        <f>SUM(D103+D104-D105)-0.045</f>
        <v>303380.21734000003</v>
      </c>
      <c r="E106" s="388" t="s">
        <v>10</v>
      </c>
      <c r="F106" s="389" t="s">
        <v>10</v>
      </c>
      <c r="H106" s="130"/>
    </row>
    <row r="107" spans="1:6" ht="17.25" customHeight="1" thickBot="1">
      <c r="A107" s="407" t="s">
        <v>320</v>
      </c>
      <c r="B107" s="245" t="s">
        <v>9</v>
      </c>
      <c r="C107" s="245" t="s">
        <v>83</v>
      </c>
      <c r="D107" s="392">
        <f>D55-D106</f>
        <v>290827.70550999994</v>
      </c>
      <c r="E107" s="245" t="s">
        <v>9</v>
      </c>
      <c r="F107" s="246" t="s">
        <v>9</v>
      </c>
    </row>
    <row r="108" spans="1:6" ht="25.5" hidden="1">
      <c r="A108" s="247" t="s">
        <v>290</v>
      </c>
      <c r="B108" s="248" t="s">
        <v>206</v>
      </c>
      <c r="C108" s="248" t="s">
        <v>10</v>
      </c>
      <c r="D108" s="248"/>
      <c r="E108" s="248" t="s">
        <v>10</v>
      </c>
      <c r="F108" s="249" t="s">
        <v>10</v>
      </c>
    </row>
    <row r="109" spans="1:6" ht="26.25" hidden="1" thickBot="1">
      <c r="A109" s="250" t="s">
        <v>291</v>
      </c>
      <c r="B109" s="251" t="s">
        <v>10</v>
      </c>
      <c r="C109" s="251" t="s">
        <v>10</v>
      </c>
      <c r="D109" s="251">
        <f>D107-D108</f>
        <v>290827.70550999994</v>
      </c>
      <c r="E109" s="251" t="s">
        <v>10</v>
      </c>
      <c r="F109" s="252" t="s">
        <v>10</v>
      </c>
    </row>
    <row r="110" ht="12.75" hidden="1">
      <c r="F110" s="68"/>
    </row>
    <row r="111" ht="12.75" hidden="1">
      <c r="F111" s="68"/>
    </row>
    <row r="112" ht="12.75" hidden="1">
      <c r="F112" s="68"/>
    </row>
    <row r="113" ht="12.75" hidden="1">
      <c r="F113" s="68"/>
    </row>
    <row r="114" ht="12.75" hidden="1">
      <c r="F114" s="68"/>
    </row>
    <row r="115" ht="12.75" hidden="1">
      <c r="F115" s="68"/>
    </row>
    <row r="116" ht="12.75">
      <c r="F116" s="68"/>
    </row>
    <row r="117" spans="1:6" s="84" customFormat="1" ht="15.75">
      <c r="A117" s="84" t="s">
        <v>144</v>
      </c>
      <c r="D117" s="89"/>
      <c r="F117" s="89"/>
    </row>
    <row r="118" spans="1:6" s="84" customFormat="1" ht="15.75">
      <c r="A118" s="84" t="s">
        <v>145</v>
      </c>
      <c r="F118" s="85" t="s">
        <v>267</v>
      </c>
    </row>
    <row r="119" spans="1:5" ht="12.75" hidden="1">
      <c r="A119" s="82" t="s">
        <v>263</v>
      </c>
      <c r="B119" s="82"/>
      <c r="C119" s="81"/>
      <c r="D119" s="81"/>
      <c r="E119" s="81"/>
    </row>
    <row r="120" spans="1:6" ht="12.75" hidden="1">
      <c r="A120" s="82" t="s">
        <v>264</v>
      </c>
      <c r="B120" s="82"/>
      <c r="C120" s="81"/>
      <c r="D120" s="82"/>
      <c r="E120" s="81"/>
      <c r="F120" s="35"/>
    </row>
    <row r="121" spans="1:5" ht="12.75" hidden="1">
      <c r="A121" s="82" t="s">
        <v>265</v>
      </c>
      <c r="B121" s="82"/>
      <c r="C121" s="81"/>
      <c r="D121" s="81"/>
      <c r="E121" s="81" t="s">
        <v>266</v>
      </c>
    </row>
    <row r="122" spans="2:4" ht="12.75">
      <c r="B122" s="68"/>
      <c r="C122" s="68"/>
      <c r="D122" s="68"/>
    </row>
    <row r="123" spans="4:7" ht="12.75">
      <c r="D123" s="68"/>
      <c r="G123" s="70"/>
    </row>
    <row r="124" spans="2:6" ht="12.75">
      <c r="B124" s="68"/>
      <c r="D124" s="68"/>
      <c r="E124" s="68"/>
      <c r="F124" s="70"/>
    </row>
    <row r="125" spans="4:7" ht="12.75">
      <c r="D125" s="68"/>
      <c r="F125" s="70"/>
      <c r="G125" s="68"/>
    </row>
    <row r="126" ht="12.75">
      <c r="D126" s="68"/>
    </row>
    <row r="127" spans="2:6" ht="12.75">
      <c r="B127" s="68"/>
      <c r="C127" s="68"/>
      <c r="D127" s="68"/>
      <c r="E127" s="68"/>
      <c r="F127" s="68"/>
    </row>
    <row r="128" spans="2:6" ht="12.75">
      <c r="B128" s="68"/>
      <c r="D128" s="68"/>
      <c r="F128" s="70"/>
    </row>
    <row r="129" ht="12.75">
      <c r="F129" s="22"/>
    </row>
    <row r="130" spans="2:6" ht="12.75">
      <c r="B130" s="68"/>
      <c r="C130" s="68"/>
      <c r="D130" s="68"/>
      <c r="F130" s="70"/>
    </row>
    <row r="131" ht="12.75">
      <c r="B131" s="68"/>
    </row>
    <row r="134" ht="12.75">
      <c r="B134" s="68"/>
    </row>
  </sheetData>
  <sheetProtection/>
  <mergeCells count="15">
    <mergeCell ref="C60:C61"/>
    <mergeCell ref="A60:A61"/>
    <mergeCell ref="B60:B61"/>
    <mergeCell ref="D60:D61"/>
    <mergeCell ref="A5:F5"/>
    <mergeCell ref="A62:F62"/>
    <mergeCell ref="E60:E61"/>
    <mergeCell ref="F60:F61"/>
    <mergeCell ref="A1:F1"/>
    <mergeCell ref="B3:B4"/>
    <mergeCell ref="D3:D4"/>
    <mergeCell ref="E3:E4"/>
    <mergeCell ref="F3:F4"/>
    <mergeCell ref="C3:C4"/>
    <mergeCell ref="A3:A4"/>
  </mergeCells>
  <printOptions horizontalCentered="1"/>
  <pageMargins left="1.1811023622047245" right="0.3937007874015748" top="0.7874015748031497" bottom="0.3937007874015748" header="0.07874015748031496" footer="0.07874015748031496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kp-Aftanashchuk</cp:lastModifiedBy>
  <cp:lastPrinted>2019-08-23T13:00:38Z</cp:lastPrinted>
  <dcterms:created xsi:type="dcterms:W3CDTF">1998-06-05T11:11:54Z</dcterms:created>
  <dcterms:modified xsi:type="dcterms:W3CDTF">2019-08-30T11:29:32Z</dcterms:modified>
  <cp:category/>
  <cp:version/>
  <cp:contentType/>
  <cp:contentStatus/>
</cp:coreProperties>
</file>